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91" windowWidth="8970" windowHeight="11340" activeTab="0"/>
  </bookViews>
  <sheets>
    <sheet name="Inputs" sheetId="1" r:id="rId1"/>
    <sheet name="Chart1" sheetId="2" r:id="rId2"/>
    <sheet name="Look-up Tables" sheetId="3" r:id="rId3"/>
    <sheet name="Elkhorn" sheetId="4" r:id="rId4"/>
  </sheets>
  <definedNames>
    <definedName name="Acres">'Inputs'!$C$7</definedName>
    <definedName name="AIperA">'Inputs'!$C$8</definedName>
    <definedName name="AnnHours">'Inputs'!$C$9</definedName>
    <definedName name="BHP">'Inputs'!$E$10</definedName>
    <definedName name="DieselPrice">'Inputs'!$C$19</definedName>
    <definedName name="DriveEleMOilPrice">'Inputs'!$C$25</definedName>
    <definedName name="EngineOilPrice">'Inputs'!$C$24</definedName>
    <definedName name="GasolinePrice">'Inputs'!$C$23</definedName>
    <definedName name="GPM">'Inputs'!$C$6</definedName>
    <definedName name="Head">'Inputs'!$H$33</definedName>
    <definedName name="HP">'Elkhorn'!$D$7</definedName>
    <definedName name="kW">'Elkhorn'!$D$10</definedName>
    <definedName name="Lift">'Inputs'!$C$10</definedName>
    <definedName name="NamePlateHP">'Inputs'!$C$13</definedName>
    <definedName name="NaturalGasPrice">'Inputs'!$C$20</definedName>
    <definedName name="NC">'Inputs'!$A$41</definedName>
    <definedName name="NPHP">'Elkhorn'!$F$7</definedName>
    <definedName name="NumberOptions">'Inputs'!$D$3</definedName>
    <definedName name="O10UP">'Elkhorn'!#REF!</definedName>
    <definedName name="O10UPHP">'Elkhorn'!#REF!</definedName>
    <definedName name="O1UP">'Elkhorn'!$D$12</definedName>
    <definedName name="O1UPHP">'Elkhorn'!$F$12</definedName>
    <definedName name="O2UP">'Elkhorn'!$D$32</definedName>
    <definedName name="O2UPHP">'Elkhorn'!$F$32</definedName>
    <definedName name="O3UP">'Elkhorn'!$D$52</definedName>
    <definedName name="O3UPHP">'Elkhorn'!$F$52</definedName>
    <definedName name="O4UP">'Elkhorn'!$D$72</definedName>
    <definedName name="O4UPHP">'Elkhorn'!$F$72</definedName>
    <definedName name="O5UP">'Elkhorn'!$D$92</definedName>
    <definedName name="O5UPHP">'Elkhorn'!$F$92</definedName>
    <definedName name="O6UP">'Elkhorn'!$D$112</definedName>
    <definedName name="O6UPHP">'Elkhorn'!$F$112</definedName>
    <definedName name="O7UP">'Elkhorn'!$D$132</definedName>
    <definedName name="O7UPHP">'Elkhorn'!$F$132</definedName>
    <definedName name="O8UP">'Elkhorn'!#REF!</definedName>
    <definedName name="O8UPHP">'Elkhorn'!#REF!</definedName>
    <definedName name="O9UP">'Elkhorn'!#REF!</definedName>
    <definedName name="O9UPHP">'Elkhorn'!#REF!</definedName>
    <definedName name="Option1">'Elkhorn'!$B$8</definedName>
    <definedName name="Option10">'Elkhorn'!#REF!</definedName>
    <definedName name="Option10Ttl">'Elkhorn'!#REF!</definedName>
    <definedName name="Option10TtlHP">'Elkhorn'!#REF!</definedName>
    <definedName name="Option1Ttl">'Elkhorn'!$D$24</definedName>
    <definedName name="Option1TtlHP">'Elkhorn'!$F$24</definedName>
    <definedName name="Option2">'Elkhorn'!$B$28</definedName>
    <definedName name="Option2Ttl">'Elkhorn'!$D$44</definedName>
    <definedName name="Option2TtlHP">'Elkhorn'!$F$44</definedName>
    <definedName name="Option3">'Elkhorn'!$B$48</definedName>
    <definedName name="Option3Ttl">'Elkhorn'!$D$64</definedName>
    <definedName name="Option3TtlHP">'Elkhorn'!$F$64</definedName>
    <definedName name="Option4">'Elkhorn'!$B$68</definedName>
    <definedName name="Option4Ttl">'Elkhorn'!$D$84</definedName>
    <definedName name="Option4TtlHP">'Elkhorn'!$F$84</definedName>
    <definedName name="Option5">'Elkhorn'!$B$88</definedName>
    <definedName name="Option5Ttl">'Elkhorn'!$D$104</definedName>
    <definedName name="Option5TtlHP">'Elkhorn'!$F$104</definedName>
    <definedName name="Option6">'Elkhorn'!$B$108</definedName>
    <definedName name="Option6Ttl">'Elkhorn'!$D$124</definedName>
    <definedName name="Option6TtlHP">'Elkhorn'!$F$124</definedName>
    <definedName name="Option7">'Elkhorn'!$B$128</definedName>
    <definedName name="Option7Ttl">'Elkhorn'!$D$144</definedName>
    <definedName name="Option7TtlHP">'Elkhorn'!$F$144</definedName>
    <definedName name="Option8">'Elkhorn'!#REF!</definedName>
    <definedName name="Option8Ttl">'Elkhorn'!#REF!</definedName>
    <definedName name="Option8TtlHP">'Elkhorn'!#REF!</definedName>
    <definedName name="Option9">'Elkhorn'!#REF!</definedName>
    <definedName name="Option9Ttl">'Elkhorn'!#REF!</definedName>
    <definedName name="Option9TtlHP">'Elkhorn'!#REF!</definedName>
    <definedName name="OptionCount">'Elkhorn'!$B$5</definedName>
    <definedName name="_xlnm.Print_Area" localSheetId="0">'Inputs'!$A$1:$K$66</definedName>
    <definedName name="PropanePrice">'Inputs'!$C$21</definedName>
    <definedName name="PSI">'Inputs'!$C$11</definedName>
    <definedName name="TC">'Inputs'!$A$43</definedName>
    <definedName name="Towers">'Inputs'!$C$12</definedName>
    <definedName name="TtlHours">'Elkhorn'!$D$9</definedName>
    <definedName name="UnitPrice">'Inputs'!$B$41</definedName>
    <definedName name="WHP">'Inputs'!$J$33</definedName>
    <definedName name="WSName">'Elkhorn'!$A$1</definedName>
  </definedNames>
  <calcPr fullCalcOnLoad="1"/>
</workbook>
</file>

<file path=xl/sharedStrings.xml><?xml version="1.0" encoding="utf-8"?>
<sst xmlns="http://schemas.openxmlformats.org/spreadsheetml/2006/main" count="269" uniqueCount="142">
  <si>
    <t>Inputs</t>
  </si>
  <si>
    <t>Pumping Rate</t>
  </si>
  <si>
    <t>Acres</t>
  </si>
  <si>
    <t>Lift</t>
  </si>
  <si>
    <t>Pressure</t>
  </si>
  <si>
    <t>Hours Pumped</t>
  </si>
  <si>
    <t>Engine Oil</t>
  </si>
  <si>
    <t>GPM</t>
  </si>
  <si>
    <t>Distribution System</t>
  </si>
  <si>
    <t>Fuel Tank</t>
  </si>
  <si>
    <t>Bowls</t>
  </si>
  <si>
    <t>1st Bowl</t>
  </si>
  <si>
    <t>other bowls</t>
  </si>
  <si>
    <t>Gearhead, Drive Shaft</t>
  </si>
  <si>
    <t>BHP</t>
  </si>
  <si>
    <t>$</t>
  </si>
  <si>
    <t>Pump Base, Engine Stand</t>
  </si>
  <si>
    <t>gpm</t>
  </si>
  <si>
    <t>Electric Switches</t>
  </si>
  <si>
    <t>Electric Service</t>
  </si>
  <si>
    <t>Pivot Charge</t>
  </si>
  <si>
    <t>Diesel Engine</t>
  </si>
  <si>
    <t>Natural Gas Engine</t>
  </si>
  <si>
    <t>Propane Engine</t>
  </si>
  <si>
    <t>Electric Engine</t>
  </si>
  <si>
    <t>Gas Engine</t>
  </si>
  <si>
    <t>Fuel Usage</t>
  </si>
  <si>
    <t>Head</t>
  </si>
  <si>
    <t>WHP</t>
  </si>
  <si>
    <t>Equations</t>
  </si>
  <si>
    <t>Diesel</t>
  </si>
  <si>
    <t>Propane</t>
  </si>
  <si>
    <t>/well</t>
  </si>
  <si>
    <t>Gasoline</t>
  </si>
  <si>
    <t>Generator mount</t>
  </si>
  <si>
    <t>Generator</t>
  </si>
  <si>
    <t>1=Center Pivot, 2=other</t>
  </si>
  <si>
    <t>Water applied per acre</t>
  </si>
  <si>
    <t>Annual Pumping</t>
  </si>
  <si>
    <t>Pounds per Square Inch (PSI)</t>
  </si>
  <si>
    <t>(0 if not center pivot)</t>
  </si>
  <si>
    <t xml:space="preserve">Repair </t>
  </si>
  <si>
    <t>Wage/hr</t>
  </si>
  <si>
    <t>Annual</t>
  </si>
  <si>
    <t>$/gal</t>
  </si>
  <si>
    <t>Connect</t>
  </si>
  <si>
    <t>Charge</t>
  </si>
  <si>
    <t>Pumping Rate GPM</t>
  </si>
  <si>
    <t>Lift(ft)</t>
  </si>
  <si>
    <t>Pressure PSI</t>
  </si>
  <si>
    <t>Head(ft)</t>
  </si>
  <si>
    <t>Towers</t>
  </si>
  <si>
    <t>Energy Source</t>
  </si>
  <si>
    <t>Unit Price</t>
  </si>
  <si>
    <t>Annual Energy Cost</t>
  </si>
  <si>
    <t>Total Annual Operating Cost</t>
  </si>
  <si>
    <t>gal</t>
  </si>
  <si>
    <t>MCF</t>
  </si>
  <si>
    <t>If pivot, number of Towers</t>
  </si>
  <si>
    <t>Source</t>
  </si>
  <si>
    <t>Unit</t>
  </si>
  <si>
    <t>Repair labor hrs/1,000 hrs</t>
  </si>
  <si>
    <t>Energy   whp-hrs/unit</t>
  </si>
  <si>
    <t>Stand</t>
  </si>
  <si>
    <t>Gallons per Minute (GPM)</t>
  </si>
  <si>
    <t>Drive and Elec MotorOil</t>
  </si>
  <si>
    <t>$/unit</t>
  </si>
  <si>
    <t>Fuel, Oil, Repairs</t>
  </si>
  <si>
    <t>Parts $/1000 hrs</t>
  </si>
  <si>
    <t>Engine oil gal/1,000 hrs</t>
  </si>
  <si>
    <t>Drip or motor oil gal/1,000 hrs</t>
  </si>
  <si>
    <t>Annual Repair Cost**</t>
  </si>
  <si>
    <t>Energy Use/hr*</t>
  </si>
  <si>
    <t>Table 1: Annual Energy and Repair Cost Comparison for Different Energy Sources</t>
  </si>
  <si>
    <t>Power Operating Costs</t>
  </si>
  <si>
    <t>(Head * GPM / 3960) + 0.3 * Towers</t>
  </si>
  <si>
    <t>Lift + 2.31 * PSI</t>
  </si>
  <si>
    <t>Area irrigated/well</t>
  </si>
  <si>
    <t>KWH</t>
  </si>
  <si>
    <t>Currency</t>
  </si>
  <si>
    <t>Acre-Inches Applied per Acre * Acres * 27,154 gal/acre-inch / GPM * 60</t>
  </si>
  <si>
    <t>WHP / whp-hrs/unit / Nebraska Performance Criteria %</t>
  </si>
  <si>
    <t>[(Head * GPM / 3960 / Drive and Pump Efficiency %) + 1.5 * Towers] + 15% for fossil fueled</t>
  </si>
  <si>
    <t>Acre-inches/acre (Ac-In/ac)</t>
  </si>
  <si>
    <t>Hours ( Revise Acres, Ac-In/acre or GPM to adjust annual pumping hours)</t>
  </si>
  <si>
    <t>Acre-Inches Pumped Ac-In/acre</t>
  </si>
  <si>
    <t>Electric</t>
  </si>
  <si>
    <t>Drive and Pump Efficiency %***</t>
  </si>
  <si>
    <t>Name Plate HP</t>
  </si>
  <si>
    <t>**Repair Costs include repair labor, engine oil, and motor/drive oil.</t>
  </si>
  <si>
    <t>Number of Options</t>
  </si>
  <si>
    <t>kW Installation</t>
  </si>
  <si>
    <t>HP Installation</t>
  </si>
  <si>
    <t>Option 1</t>
  </si>
  <si>
    <t>Total hrs. of Operation</t>
  </si>
  <si>
    <t>kW</t>
  </si>
  <si>
    <t>kWh per season</t>
  </si>
  <si>
    <t>Rate Blocks</t>
  </si>
  <si>
    <t>Cost @</t>
  </si>
  <si>
    <t>Total Energy Charge</t>
  </si>
  <si>
    <t>Option 2</t>
  </si>
  <si>
    <t>Option 3</t>
  </si>
  <si>
    <t>Option 4</t>
  </si>
  <si>
    <t>Option 5</t>
  </si>
  <si>
    <t>Option 6</t>
  </si>
  <si>
    <t>Option 7</t>
  </si>
  <si>
    <t>See Below</t>
  </si>
  <si>
    <t>Electric Options</t>
  </si>
  <si>
    <t xml:space="preserve">ft   </t>
  </si>
  <si>
    <t>All kWh</t>
  </si>
  <si>
    <t>Calculated System HP</t>
  </si>
  <si>
    <t>Elkhorn Rural Public Power District</t>
  </si>
  <si>
    <t>Full Time - Pumping</t>
  </si>
  <si>
    <t>4-Hour Control</t>
  </si>
  <si>
    <t>6-Hour Control</t>
  </si>
  <si>
    <t>8-Hour Control</t>
  </si>
  <si>
    <t>10-Hour Control</t>
  </si>
  <si>
    <t>12-Hour Control</t>
  </si>
  <si>
    <t>Prepayment per HP</t>
  </si>
  <si>
    <t>Total Annual Prepayment Charge</t>
  </si>
  <si>
    <t>Excess kWh</t>
  </si>
  <si>
    <t>Natural Gas</t>
  </si>
  <si>
    <t>If Nameplate HP is not entered, HP will be calculated from kW requirements.</t>
  </si>
  <si>
    <t>Customer Name</t>
  </si>
  <si>
    <t>Acct./Meter No.</t>
  </si>
  <si>
    <t>Date</t>
  </si>
  <si>
    <t>kWh</t>
  </si>
  <si>
    <t>gallons</t>
  </si>
  <si>
    <t>therms</t>
  </si>
  <si>
    <t xml:space="preserve">Total Annual Fuel / Energy </t>
  </si>
  <si>
    <t>Units</t>
  </si>
  <si>
    <t>*Energy Use assumes 100% Nebraska Performance Criteria unless OPE is entered.</t>
  </si>
  <si>
    <t>First 500 kWh per HP</t>
  </si>
  <si>
    <t>(charge x Nameplate)</t>
  </si>
  <si>
    <t>Fixed Charge</t>
  </si>
  <si>
    <t>Overall Plant Effiency (OPE) %</t>
  </si>
  <si>
    <t>Fixed Charge per HP</t>
  </si>
  <si>
    <t>Total Annual Fixed Charge</t>
  </si>
  <si>
    <t>Average kWh Price</t>
  </si>
  <si>
    <t>(An OPE of 82% is equivalent to 100% of Nebraska Pumping Plant Performance Citeria</t>
  </si>
  <si>
    <t>and indicates optimal performance. Adjust to reflect actual OPE.)</t>
  </si>
  <si>
    <t>Daily Control (9 am - 11 pm)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</si>
</sst>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\ ;\(&quot;$&quot;#,##0.000\)"/>
    <numFmt numFmtId="165" formatCode=";;;"/>
    <numFmt numFmtId="166" formatCode="0.0"/>
    <numFmt numFmtId="167" formatCode="0.000"/>
    <numFmt numFmtId="168" formatCode="&quot;$&quot;#,##0.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&quot;$&quot;#,##0.000"/>
    <numFmt numFmtId="175" formatCode="&quot;$&quot;#,##0"/>
    <numFmt numFmtId="176" formatCode="&quot;$&quot;#,##0.0"/>
    <numFmt numFmtId="177" formatCode="_(&quot;$&quot;* #,##0.0000_);_(&quot;$&quot;* \(#,##0.0000\);_(&quot;$&quot;* &quot;-&quot;????_);_(@_)"/>
    <numFmt numFmtId="178" formatCode="&quot;$&quot;#,##0.0000"/>
    <numFmt numFmtId="179" formatCode="#,##0.0"/>
    <numFmt numFmtId="180" formatCode="#,##0.000"/>
    <numFmt numFmtId="181" formatCode="&quot;$&quot;#,##0.0000_);\(&quot;$&quot;#,##0.000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&quot;$&quot;#,##0.0000_);[Red]\(&quot;$&quot;#,##0.0000\)"/>
    <numFmt numFmtId="186" formatCode="&quot;$&quot;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#,##0.0000"/>
    <numFmt numFmtId="191" formatCode="#,##0.0000_);\(#,##0.0000\)"/>
    <numFmt numFmtId="192" formatCode="[$€-2]\ #,##0.00_);[Red]\([$€-2]\ #,##0.00\)"/>
    <numFmt numFmtId="193" formatCode="#,##0.000_);\(#,##0.000\)"/>
    <numFmt numFmtId="194" formatCode="#,##0.00000_);\(#,##0.00000\)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color indexed="2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.5"/>
      <color indexed="8"/>
      <name val="Arial"/>
      <family val="0"/>
    </font>
    <font>
      <sz val="10.5"/>
      <color indexed="9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9"/>
      <name val="Arial"/>
      <family val="2"/>
    </font>
    <font>
      <b/>
      <sz val="10.5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168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>
      <alignment horizontal="left"/>
      <protection hidden="1"/>
    </xf>
    <xf numFmtId="175" fontId="0" fillId="0" borderId="11" xfId="0" applyNumberForma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175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 quotePrefix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 quotePrefix="1">
      <alignment horizontal="left"/>
      <protection hidden="1"/>
    </xf>
    <xf numFmtId="0" fontId="0" fillId="0" borderId="0" xfId="0" applyFill="1" applyBorder="1" applyAlignment="1" applyProtection="1">
      <alignment horizontal="right"/>
      <protection hidden="1"/>
    </xf>
    <xf numFmtId="3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 quotePrefix="1">
      <alignment horizontal="left"/>
      <protection hidden="1"/>
    </xf>
    <xf numFmtId="0" fontId="0" fillId="0" borderId="0" xfId="0" applyFill="1" applyAlignment="1" applyProtection="1" quotePrefix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 quotePrefix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8" fontId="2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 quotePrefix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0" fillId="0" borderId="13" xfId="0" applyFill="1" applyBorder="1" applyAlignment="1" applyProtection="1" quotePrefix="1">
      <alignment horizontal="center" wrapText="1"/>
      <protection hidden="1"/>
    </xf>
    <xf numFmtId="0" fontId="0" fillId="0" borderId="16" xfId="0" applyFill="1" applyBorder="1" applyAlignment="1" applyProtection="1">
      <alignment horizontal="center" wrapText="1"/>
      <protection hidden="1"/>
    </xf>
    <xf numFmtId="0" fontId="0" fillId="0" borderId="16" xfId="0" applyFill="1" applyBorder="1" applyAlignment="1" applyProtection="1" quotePrefix="1">
      <alignment horizontal="center" wrapText="1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3" fontId="0" fillId="0" borderId="17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166" fontId="0" fillId="0" borderId="18" xfId="0" applyNumberFormat="1" applyFont="1" applyFill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wrapText="1"/>
      <protection hidden="1"/>
    </xf>
    <xf numFmtId="168" fontId="0" fillId="0" borderId="20" xfId="0" applyNumberFormat="1" applyFont="1" applyFill="1" applyBorder="1" applyAlignment="1" applyProtection="1">
      <alignment horizontal="right"/>
      <protection hidden="1"/>
    </xf>
    <xf numFmtId="0" fontId="0" fillId="0" borderId="21" xfId="0" applyFont="1" applyFill="1" applyBorder="1" applyAlignment="1" applyProtection="1">
      <alignment horizontal="left"/>
      <protection hidden="1"/>
    </xf>
    <xf numFmtId="166" fontId="0" fillId="0" borderId="16" xfId="0" applyNumberFormat="1" applyFill="1" applyBorder="1" applyAlignment="1" applyProtection="1">
      <alignment horizontal="center"/>
      <protection hidden="1"/>
    </xf>
    <xf numFmtId="175" fontId="0" fillId="0" borderId="16" xfId="0" applyNumberFormat="1" applyFill="1" applyBorder="1" applyAlignment="1" applyProtection="1">
      <alignment horizontal="right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3" fontId="0" fillId="0" borderId="16" xfId="0" applyNumberFormat="1" applyFill="1" applyBorder="1" applyAlignment="1" applyProtection="1">
      <alignment horizontal="center"/>
      <protection hidden="1"/>
    </xf>
    <xf numFmtId="175" fontId="0" fillId="0" borderId="22" xfId="0" applyNumberFormat="1" applyFill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 horizontal="right"/>
      <protection hidden="1"/>
    </xf>
    <xf numFmtId="168" fontId="0" fillId="0" borderId="14" xfId="0" applyNumberFormat="1" applyFont="1" applyFill="1" applyBorder="1" applyAlignment="1" applyProtection="1">
      <alignment horizontal="righ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175" fontId="0" fillId="0" borderId="24" xfId="0" applyNumberFormat="1" applyFill="1" applyBorder="1" applyAlignment="1" applyProtection="1">
      <alignment horizontal="right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lef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0" xfId="0" applyFill="1" applyBorder="1" applyAlignment="1" applyProtection="1" quotePrefix="1">
      <alignment horizontal="left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left" wrapText="1"/>
      <protection hidden="1"/>
    </xf>
    <xf numFmtId="0" fontId="0" fillId="0" borderId="16" xfId="0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left" wrapText="1"/>
      <protection hidden="1"/>
    </xf>
    <xf numFmtId="0" fontId="0" fillId="0" borderId="27" xfId="0" applyFont="1" applyFill="1" applyBorder="1" applyAlignment="1" applyProtection="1">
      <alignment/>
      <protection hidden="1"/>
    </xf>
    <xf numFmtId="175" fontId="0" fillId="0" borderId="28" xfId="0" applyNumberFormat="1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2" fontId="0" fillId="0" borderId="28" xfId="0" applyNumberFormat="1" applyFill="1" applyBorder="1" applyAlignment="1" applyProtection="1">
      <alignment horizontal="center"/>
      <protection hidden="1"/>
    </xf>
    <xf numFmtId="3" fontId="0" fillId="0" borderId="28" xfId="0" applyNumberFormat="1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/>
      <protection hidden="1"/>
    </xf>
    <xf numFmtId="175" fontId="0" fillId="0" borderId="0" xfId="0" applyNumberFormat="1" applyFill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175" fontId="0" fillId="0" borderId="0" xfId="0" applyNumberFormat="1" applyFill="1" applyAlignment="1" applyProtection="1" quotePrefix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168" fontId="2" fillId="0" borderId="15" xfId="0" applyNumberFormat="1" applyFont="1" applyFill="1" applyBorder="1" applyAlignment="1" applyProtection="1">
      <alignment horizontal="center"/>
      <protection hidden="1" locked="0"/>
    </xf>
    <xf numFmtId="168" fontId="2" fillId="0" borderId="23" xfId="0" applyNumberFormat="1" applyFont="1" applyFill="1" applyBorder="1" applyAlignment="1" applyProtection="1">
      <alignment horizontal="center"/>
      <protection hidden="1" locked="0"/>
    </xf>
    <xf numFmtId="175" fontId="2" fillId="0" borderId="23" xfId="0" applyNumberFormat="1" applyFont="1" applyFill="1" applyBorder="1" applyAlignment="1" applyProtection="1">
      <alignment horizontal="right"/>
      <protection hidden="1" locked="0"/>
    </xf>
    <xf numFmtId="168" fontId="2" fillId="0" borderId="17" xfId="0" applyNumberFormat="1" applyFont="1" applyFill="1" applyBorder="1" applyAlignment="1" applyProtection="1">
      <alignment horizontal="center"/>
      <protection hidden="1" locked="0"/>
    </xf>
    <xf numFmtId="0" fontId="8" fillId="33" borderId="0" xfId="0" applyFont="1" applyFill="1" applyAlignment="1" applyProtection="1">
      <alignment/>
      <protection hidden="1"/>
    </xf>
    <xf numFmtId="190" fontId="0" fillId="33" borderId="14" xfId="0" applyNumberFormat="1" applyFont="1" applyFill="1" applyBorder="1" applyAlignment="1" applyProtection="1">
      <alignment horizontal="right"/>
      <protection hidden="1"/>
    </xf>
    <xf numFmtId="0" fontId="0" fillId="33" borderId="23" xfId="0" applyFont="1" applyFill="1" applyBorder="1" applyAlignment="1" applyProtection="1">
      <alignment horizontal="left"/>
      <protection hidden="1"/>
    </xf>
    <xf numFmtId="2" fontId="0" fillId="33" borderId="16" xfId="0" applyNumberFormat="1" applyFill="1" applyBorder="1" applyAlignment="1" applyProtection="1">
      <alignment horizontal="center"/>
      <protection hidden="1"/>
    </xf>
    <xf numFmtId="175" fontId="0" fillId="33" borderId="16" xfId="0" applyNumberFormat="1" applyFill="1" applyBorder="1" applyAlignment="1" applyProtection="1">
      <alignment horizontal="right"/>
      <protection hidden="1"/>
    </xf>
    <xf numFmtId="0" fontId="0" fillId="33" borderId="16" xfId="0" applyNumberFormat="1" applyFill="1" applyBorder="1" applyAlignment="1" applyProtection="1">
      <alignment horizontal="center"/>
      <protection hidden="1"/>
    </xf>
    <xf numFmtId="175" fontId="0" fillId="33" borderId="24" xfId="0" applyNumberFormat="1" applyFill="1" applyBorder="1" applyAlignment="1" applyProtection="1">
      <alignment horizontal="right"/>
      <protection hidden="1"/>
    </xf>
    <xf numFmtId="175" fontId="0" fillId="33" borderId="0" xfId="0" applyNumberFormat="1" applyFill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 vertical="top"/>
      <protection hidden="1"/>
    </xf>
    <xf numFmtId="0" fontId="8" fillId="0" borderId="0" xfId="0" applyFont="1" applyFill="1" applyAlignment="1" applyProtection="1">
      <alignment/>
      <protection hidden="1"/>
    </xf>
    <xf numFmtId="168" fontId="2" fillId="0" borderId="13" xfId="0" applyNumberFormat="1" applyFont="1" applyFill="1" applyBorder="1" applyAlignment="1" applyProtection="1">
      <alignment horizontal="center"/>
      <protection hidden="1" locked="0"/>
    </xf>
    <xf numFmtId="0" fontId="0" fillId="33" borderId="0" xfId="0" applyFill="1" applyBorder="1" applyAlignment="1" applyProtection="1">
      <alignment horizontal="center"/>
      <protection hidden="1"/>
    </xf>
    <xf numFmtId="190" fontId="0" fillId="33" borderId="0" xfId="0" applyNumberFormat="1" applyFont="1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 horizontal="center"/>
      <protection hidden="1"/>
    </xf>
    <xf numFmtId="0" fontId="0" fillId="33" borderId="0" xfId="0" applyNumberFormat="1" applyFill="1" applyBorder="1" applyAlignment="1" applyProtection="1">
      <alignment horizontal="center"/>
      <protection hidden="1"/>
    </xf>
    <xf numFmtId="3" fontId="0" fillId="33" borderId="0" xfId="0" applyNumberForma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 shrinkToFit="1"/>
      <protection hidden="1"/>
    </xf>
    <xf numFmtId="0" fontId="0" fillId="0" borderId="18" xfId="0" applyFill="1" applyBorder="1" applyAlignment="1" applyProtection="1">
      <alignment horizontal="center" shrinkToFit="1"/>
      <protection hidden="1"/>
    </xf>
    <xf numFmtId="0" fontId="0" fillId="0" borderId="24" xfId="0" applyFill="1" applyBorder="1" applyAlignment="1" applyProtection="1">
      <alignment horizontal="center" shrinkToFit="1"/>
      <protection hidden="1"/>
    </xf>
    <xf numFmtId="0" fontId="0" fillId="0" borderId="12" xfId="0" applyFill="1" applyBorder="1" applyAlignment="1" applyProtection="1">
      <alignment horizontal="center" shrinkToFit="1"/>
      <protection hidden="1"/>
    </xf>
    <xf numFmtId="0" fontId="0" fillId="33" borderId="16" xfId="0" applyFill="1" applyBorder="1" applyAlignment="1" applyProtection="1">
      <alignment horizontal="center" shrinkToFit="1"/>
      <protection hidden="1"/>
    </xf>
    <xf numFmtId="1" fontId="2" fillId="0" borderId="0" xfId="0" applyNumberFormat="1" applyFont="1" applyFill="1" applyBorder="1" applyAlignment="1" applyProtection="1">
      <alignment horizontal="right"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5" fontId="0" fillId="0" borderId="0" xfId="0" applyNumberFormat="1" applyAlignment="1" applyProtection="1">
      <alignment horizontal="right"/>
      <protection/>
    </xf>
    <xf numFmtId="177" fontId="0" fillId="34" borderId="0" xfId="0" applyNumberFormat="1" applyFill="1" applyAlignment="1" applyProtection="1">
      <alignment horizontal="right"/>
      <protection/>
    </xf>
    <xf numFmtId="177" fontId="0" fillId="0" borderId="0" xfId="0" applyNumberFormat="1" applyFill="1" applyAlignment="1" applyProtection="1">
      <alignment horizontal="right"/>
      <protection/>
    </xf>
    <xf numFmtId="185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Fill="1" applyAlignment="1" applyProtection="1">
      <alignment horizontal="right"/>
      <protection/>
    </xf>
    <xf numFmtId="44" fontId="0" fillId="0" borderId="0" xfId="44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0" applyNumberFormat="1" applyFill="1" applyAlignment="1" applyProtection="1">
      <alignment horizontal="right"/>
      <protection/>
    </xf>
    <xf numFmtId="38" fontId="0" fillId="0" borderId="0" xfId="0" applyNumberFormat="1" applyFill="1" applyAlignment="1" applyProtection="1">
      <alignment horizontal="right"/>
      <protection/>
    </xf>
    <xf numFmtId="44" fontId="0" fillId="0" borderId="0" xfId="44" applyNumberFormat="1" applyAlignment="1" applyProtection="1">
      <alignment/>
      <protection/>
    </xf>
    <xf numFmtId="44" fontId="0" fillId="0" borderId="0" xfId="44" applyNumberFormat="1" applyFill="1" applyAlignment="1" applyProtection="1">
      <alignment/>
      <protection/>
    </xf>
    <xf numFmtId="8" fontId="0" fillId="0" borderId="0" xfId="44" applyNumberFormat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84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44" fontId="0" fillId="0" borderId="0" xfId="0" applyNumberFormat="1" applyAlignment="1" applyProtection="1">
      <alignment/>
      <protection/>
    </xf>
    <xf numFmtId="178" fontId="2" fillId="0" borderId="0" xfId="0" applyNumberFormat="1" applyFont="1" applyFill="1" applyAlignment="1" applyProtection="1">
      <alignment shrinkToFit="1"/>
      <protection hidden="1"/>
    </xf>
    <xf numFmtId="0" fontId="2" fillId="33" borderId="16" xfId="0" applyNumberFormat="1" applyFont="1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 shrinkToFit="1"/>
      <protection hidden="1"/>
    </xf>
    <xf numFmtId="178" fontId="0" fillId="0" borderId="15" xfId="0" applyNumberFormat="1" applyFont="1" applyFill="1" applyBorder="1" applyAlignment="1" applyProtection="1">
      <alignment horizontal="right"/>
      <protection hidden="1"/>
    </xf>
    <xf numFmtId="0" fontId="0" fillId="0" borderId="15" xfId="0" applyFont="1" applyFill="1" applyBorder="1" applyAlignment="1" applyProtection="1">
      <alignment horizontal="left"/>
      <protection hidden="1"/>
    </xf>
    <xf numFmtId="166" fontId="0" fillId="0" borderId="15" xfId="0" applyNumberFormat="1" applyFill="1" applyBorder="1" applyAlignment="1" applyProtection="1">
      <alignment horizontal="center"/>
      <protection hidden="1"/>
    </xf>
    <xf numFmtId="175" fontId="0" fillId="0" borderId="15" xfId="0" applyNumberFormat="1" applyFill="1" applyBorder="1" applyAlignment="1" applyProtection="1">
      <alignment horizontal="right"/>
      <protection hidden="1"/>
    </xf>
    <xf numFmtId="0" fontId="0" fillId="33" borderId="15" xfId="0" applyNumberFormat="1" applyFill="1" applyBorder="1" applyAlignment="1" applyProtection="1">
      <alignment horizontal="center"/>
      <protection hidden="1"/>
    </xf>
    <xf numFmtId="3" fontId="0" fillId="33" borderId="15" xfId="0" applyNumberFormat="1" applyFill="1" applyBorder="1" applyAlignment="1" applyProtection="1">
      <alignment horizontal="center"/>
      <protection hidden="1"/>
    </xf>
    <xf numFmtId="175" fontId="0" fillId="33" borderId="15" xfId="0" applyNumberFormat="1" applyFill="1" applyBorder="1" applyAlignment="1" applyProtection="1">
      <alignment horizontal="right"/>
      <protection hidden="1"/>
    </xf>
    <xf numFmtId="175" fontId="0" fillId="33" borderId="23" xfId="0" applyNumberFormat="1" applyFill="1" applyBorder="1" applyAlignment="1" applyProtection="1">
      <alignment horizontal="right"/>
      <protection hidden="1"/>
    </xf>
    <xf numFmtId="1" fontId="10" fillId="0" borderId="0" xfId="0" applyNumberFormat="1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/>
      <protection/>
    </xf>
    <xf numFmtId="0" fontId="1" fillId="34" borderId="0" xfId="0" applyFont="1" applyFill="1" applyAlignment="1">
      <alignment horizontal="left"/>
    </xf>
    <xf numFmtId="0" fontId="2" fillId="0" borderId="24" xfId="0" applyFont="1" applyFill="1" applyBorder="1" applyAlignment="1" applyProtection="1">
      <alignment horizontal="center"/>
      <protection hidden="1" locked="0"/>
    </xf>
    <xf numFmtId="3" fontId="2" fillId="0" borderId="24" xfId="0" applyNumberFormat="1" applyFont="1" applyFill="1" applyBorder="1" applyAlignment="1" applyProtection="1">
      <alignment horizontal="center"/>
      <protection hidden="1" locked="0"/>
    </xf>
    <xf numFmtId="166" fontId="2" fillId="0" borderId="24" xfId="0" applyNumberFormat="1" applyFont="1" applyFill="1" applyBorder="1" applyAlignment="1" applyProtection="1">
      <alignment horizontal="center"/>
      <protection hidden="1" locked="0"/>
    </xf>
    <xf numFmtId="3" fontId="0" fillId="0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/>
    </xf>
    <xf numFmtId="191" fontId="0" fillId="0" borderId="0" xfId="0" applyNumberForma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4" fontId="0" fillId="0" borderId="0" xfId="44" applyNumberFormat="1" applyAlignment="1" applyProtection="1">
      <alignment/>
      <protection/>
    </xf>
    <xf numFmtId="38" fontId="0" fillId="0" borderId="0" xfId="44" applyNumberForma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 locked="0"/>
    </xf>
    <xf numFmtId="14" fontId="2" fillId="0" borderId="10" xfId="0" applyNumberFormat="1" applyFont="1" applyFill="1" applyBorder="1" applyAlignment="1" applyProtection="1">
      <alignment horizontal="left"/>
      <protection hidden="1" locked="0"/>
    </xf>
    <xf numFmtId="9" fontId="2" fillId="0" borderId="24" xfId="0" applyNumberFormat="1" applyFont="1" applyFill="1" applyBorder="1" applyAlignment="1" applyProtection="1">
      <alignment horizontal="center"/>
      <protection hidden="1" locked="0"/>
    </xf>
    <xf numFmtId="0" fontId="12" fillId="0" borderId="0" xfId="0" applyFont="1" applyFill="1" applyAlignment="1" applyProtection="1">
      <alignment horizontal="left"/>
      <protection hidden="1"/>
    </xf>
    <xf numFmtId="0" fontId="0" fillId="0" borderId="18" xfId="0" applyFill="1" applyBorder="1" applyAlignment="1" applyProtection="1">
      <alignment horizontal="center" wrapText="1"/>
      <protection hidden="1"/>
    </xf>
    <xf numFmtId="3" fontId="0" fillId="0" borderId="24" xfId="0" applyNumberFormat="1" applyFill="1" applyBorder="1" applyAlignment="1" applyProtection="1">
      <alignment horizontal="right"/>
      <protection hidden="1"/>
    </xf>
    <xf numFmtId="0" fontId="0" fillId="0" borderId="24" xfId="0" applyFill="1" applyBorder="1" applyAlignment="1" applyProtection="1">
      <alignment/>
      <protection hidden="1"/>
    </xf>
    <xf numFmtId="3" fontId="0" fillId="33" borderId="24" xfId="0" applyNumberFormat="1" applyFill="1" applyBorder="1" applyAlignment="1" applyProtection="1">
      <alignment horizontal="right"/>
      <protection hidden="1"/>
    </xf>
    <xf numFmtId="0" fontId="0" fillId="33" borderId="24" xfId="0" applyFill="1" applyBorder="1" applyAlignment="1" applyProtection="1">
      <alignment/>
      <protection hidden="1"/>
    </xf>
    <xf numFmtId="194" fontId="0" fillId="0" borderId="0" xfId="0" applyNumberFormat="1" applyFill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 wrapText="1"/>
      <protection hidden="1"/>
    </xf>
    <xf numFmtId="0" fontId="0" fillId="0" borderId="19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Fill="1" applyAlignment="1" applyProtection="1">
      <alignment/>
      <protection hidden="1"/>
    </xf>
    <xf numFmtId="0" fontId="53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right"/>
      <protection/>
    </xf>
    <xf numFmtId="0" fontId="54" fillId="0" borderId="0" xfId="0" applyFont="1" applyFill="1" applyAlignment="1" applyProtection="1">
      <alignment/>
      <protection hidden="1"/>
    </xf>
    <xf numFmtId="0" fontId="54" fillId="0" borderId="0" xfId="0" applyFont="1" applyFill="1" applyAlignment="1" applyProtection="1">
      <alignment/>
      <protection/>
    </xf>
    <xf numFmtId="2" fontId="53" fillId="0" borderId="0" xfId="0" applyNumberFormat="1" applyFont="1" applyFill="1" applyAlignment="1" applyProtection="1">
      <alignment/>
      <protection/>
    </xf>
    <xf numFmtId="3" fontId="53" fillId="0" borderId="0" xfId="0" applyNumberFormat="1" applyFont="1" applyFill="1" applyAlignment="1" applyProtection="1">
      <alignment/>
      <protection/>
    </xf>
    <xf numFmtId="177" fontId="53" fillId="0" borderId="0" xfId="0" applyNumberFormat="1" applyFont="1" applyFill="1" applyAlignment="1" applyProtection="1">
      <alignment horizontal="right"/>
      <protection/>
    </xf>
    <xf numFmtId="185" fontId="53" fillId="0" borderId="0" xfId="0" applyNumberFormat="1" applyFont="1" applyFill="1" applyAlignment="1" applyProtection="1">
      <alignment horizontal="right"/>
      <protection/>
    </xf>
    <xf numFmtId="3" fontId="53" fillId="0" borderId="0" xfId="0" applyNumberFormat="1" applyFont="1" applyFill="1" applyAlignment="1" applyProtection="1">
      <alignment horizontal="right"/>
      <protection/>
    </xf>
    <xf numFmtId="191" fontId="53" fillId="0" borderId="0" xfId="0" applyNumberFormat="1" applyFont="1" applyFill="1" applyAlignment="1" applyProtection="1">
      <alignment horizontal="right"/>
      <protection/>
    </xf>
    <xf numFmtId="44" fontId="53" fillId="0" borderId="0" xfId="0" applyNumberFormat="1" applyFont="1" applyFill="1" applyAlignment="1" applyProtection="1">
      <alignment horizontal="right"/>
      <protection/>
    </xf>
    <xf numFmtId="38" fontId="53" fillId="0" borderId="0" xfId="44" applyNumberFormat="1" applyFont="1" applyFill="1" applyAlignment="1" applyProtection="1">
      <alignment/>
      <protection/>
    </xf>
    <xf numFmtId="184" fontId="53" fillId="0" borderId="0" xfId="44" applyNumberFormat="1" applyFont="1" applyFill="1" applyAlignment="1" applyProtection="1">
      <alignment/>
      <protection/>
    </xf>
    <xf numFmtId="44" fontId="53" fillId="0" borderId="0" xfId="44" applyNumberFormat="1" applyFont="1" applyFill="1" applyAlignment="1" applyProtection="1">
      <alignment/>
      <protection/>
    </xf>
    <xf numFmtId="44" fontId="53" fillId="0" borderId="0" xfId="0" applyNumberFormat="1" applyFont="1" applyFill="1" applyAlignment="1" applyProtection="1">
      <alignment/>
      <protection/>
    </xf>
    <xf numFmtId="194" fontId="53" fillId="0" borderId="0" xfId="0" applyNumberFormat="1" applyFont="1" applyFill="1" applyAlignment="1" applyProtection="1">
      <alignment horizontal="right"/>
      <protection/>
    </xf>
    <xf numFmtId="38" fontId="53" fillId="0" borderId="0" xfId="0" applyNumberFormat="1" applyFont="1" applyFill="1" applyAlignment="1" applyProtection="1">
      <alignment horizontal="right"/>
      <protection/>
    </xf>
    <xf numFmtId="0" fontId="55" fillId="0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85" fontId="53" fillId="0" borderId="0" xfId="0" applyNumberFormat="1" applyFont="1" applyAlignment="1" applyProtection="1">
      <alignment horizontal="right"/>
      <protection/>
    </xf>
    <xf numFmtId="44" fontId="53" fillId="0" borderId="0" xfId="44" applyNumberFormat="1" applyFont="1" applyAlignment="1" applyProtection="1">
      <alignment/>
      <protection/>
    </xf>
    <xf numFmtId="185" fontId="0" fillId="0" borderId="0" xfId="0" applyNumberFormat="1" applyFont="1" applyAlignment="1" applyProtection="1">
      <alignment horizontal="right"/>
      <protection/>
    </xf>
    <xf numFmtId="0" fontId="54" fillId="0" borderId="0" xfId="0" applyFont="1" applyAlignment="1" applyProtection="1">
      <alignment horizontal="right"/>
      <protection/>
    </xf>
    <xf numFmtId="0" fontId="53" fillId="0" borderId="0" xfId="0" applyFont="1" applyFill="1" applyAlignment="1" applyProtection="1">
      <alignment horizontal="left"/>
      <protection hidden="1"/>
    </xf>
    <xf numFmtId="0" fontId="53" fillId="0" borderId="0" xfId="0" applyFont="1" applyFill="1" applyBorder="1" applyAlignment="1" applyProtection="1">
      <alignment horizontal="right"/>
      <protection hidden="1"/>
    </xf>
    <xf numFmtId="0" fontId="53" fillId="0" borderId="0" xfId="0" applyFont="1" applyFill="1" applyAlignment="1" applyProtection="1">
      <alignment/>
      <protection hidden="1"/>
    </xf>
    <xf numFmtId="3" fontId="53" fillId="0" borderId="15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/>
      <protection hidden="1"/>
    </xf>
    <xf numFmtId="168" fontId="2" fillId="0" borderId="11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29" xfId="0" applyFill="1" applyBorder="1" applyAlignment="1" applyProtection="1">
      <alignment horizontal="center" wrapText="1"/>
      <protection hidden="1"/>
    </xf>
    <xf numFmtId="0" fontId="0" fillId="0" borderId="30" xfId="0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12"/>
      </font>
    </dxf>
    <dxf>
      <font>
        <b val="0"/>
        <i val="0"/>
        <color indexed="10"/>
      </font>
    </dxf>
    <dxf>
      <font>
        <color indexed="12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2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Inputs!$G$10</c:f>
        </c:strRef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8"/>
          <c:y val="0.09525"/>
          <c:w val="0.814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Inputs!$A$36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Inputs!$J$36</c:f>
              <c:numCache>
                <c:ptCount val="1"/>
                <c:pt idx="0">
                  <c:v>7873.276333333333</c:v>
                </c:pt>
              </c:numCache>
            </c:numRef>
          </c:val>
        </c:ser>
        <c:ser>
          <c:idx val="1"/>
          <c:order val="1"/>
          <c:tx>
            <c:strRef>
              <c:f>Inputs!$A$37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Inputs!$J$37</c:f>
              <c:numCache>
                <c:ptCount val="1"/>
                <c:pt idx="0">
                  <c:v>4106.80569611021</c:v>
                </c:pt>
              </c:numCache>
            </c:numRef>
          </c:val>
        </c:ser>
        <c:ser>
          <c:idx val="2"/>
          <c:order val="2"/>
          <c:tx>
            <c:strRef>
              <c:f>Inputs!$A$38</c:f>
              <c:strCache>
                <c:ptCount val="1"/>
                <c:pt idx="0">
                  <c:v>Propane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Inputs!$J$38</c:f>
              <c:numCache>
                <c:ptCount val="1"/>
                <c:pt idx="0">
                  <c:v>7969.294116835994</c:v>
                </c:pt>
              </c:numCache>
            </c:numRef>
          </c:val>
        </c:ser>
        <c:ser>
          <c:idx val="6"/>
          <c:order val="3"/>
          <c:tx>
            <c:strRef>
              <c:f>Inputs!$A$39</c:f>
              <c:strCache>
                <c:ptCount val="1"/>
                <c:pt idx="0">
                  <c:v>Gasoline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Inputs!$J$39</c:f>
              <c:numCache>
                <c:ptCount val="1"/>
                <c:pt idx="0">
                  <c:v>8914.258465357969</c:v>
                </c:pt>
              </c:numCache>
            </c:numRef>
          </c:val>
        </c:ser>
        <c:ser>
          <c:idx val="7"/>
          <c:order val="4"/>
          <c:tx>
            <c:strRef>
              <c:f>Inputs!$A$40</c:f>
              <c:strCache>
                <c:ptCount val="1"/>
                <c:pt idx="0">
                  <c:v>Electric Options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Inputs!$J$40</c:f>
              <c:numCache>
                <c:ptCount val="1"/>
              </c:numCache>
            </c:numRef>
          </c:val>
        </c:ser>
        <c:ser>
          <c:idx val="3"/>
          <c:order val="5"/>
          <c:tx>
            <c:strRef>
              <c:f>Inputs!$A$41</c:f>
              <c:strCache>
                <c:ptCount val="1"/>
                <c:pt idx="0">
                  <c:v>Full Time - Pumping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Inputs!$J$41</c:f>
              <c:numCache>
                <c:ptCount val="1"/>
                <c:pt idx="0">
                  <c:v>6977.480445011632</c:v>
                </c:pt>
              </c:numCache>
            </c:numRef>
          </c:val>
        </c:ser>
        <c:ser>
          <c:idx val="4"/>
          <c:order val="6"/>
          <c:tx>
            <c:strRef>
              <c:f>Inputs!$A$42</c:f>
              <c:strCache>
                <c:ptCount val="1"/>
                <c:pt idx="0">
                  <c:v>4-Hour Control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Inputs!$J$42</c:f>
              <c:numCache>
                <c:ptCount val="1"/>
                <c:pt idx="0">
                  <c:v>6467.7693782120305</c:v>
                </c:pt>
              </c:numCache>
            </c:numRef>
          </c:val>
        </c:ser>
        <c:ser>
          <c:idx val="5"/>
          <c:order val="7"/>
          <c:tx>
            <c:strRef>
              <c:f>Inputs!$A$43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Inputs!$J$43</c:f>
              <c:numCache>
                <c:ptCount val="1"/>
                <c:pt idx="0">
                  <c:v>6130.603874722498</c:v>
                </c:pt>
              </c:numCache>
            </c:numRef>
          </c:val>
        </c:ser>
        <c:ser>
          <c:idx val="8"/>
          <c:order val="8"/>
          <c:tx>
            <c:strRef>
              <c:f>Inputs!$A$44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Inputs!$J$44</c:f>
            </c:numRef>
          </c:val>
        </c:ser>
        <c:ser>
          <c:idx val="9"/>
          <c:order val="9"/>
          <c:tx>
            <c:strRef>
              <c:f>Inputs!$A$45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Inputs!$J$45</c:f>
            </c:numRef>
          </c:val>
        </c:ser>
        <c:ser>
          <c:idx val="10"/>
          <c:order val="10"/>
          <c:tx>
            <c:strRef>
              <c:f>Inputs!$A$46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Inputs!$J$46</c:f>
            </c:numRef>
          </c:val>
        </c:ser>
        <c:ser>
          <c:idx val="11"/>
          <c:order val="11"/>
          <c:tx>
            <c:strRef>
              <c:f>Inputs!$A$47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Inputs!$J$47</c:f>
            </c:numRef>
          </c:val>
        </c:ser>
        <c:ser>
          <c:idx val="12"/>
          <c:order val="12"/>
          <c:tx>
            <c:strRef>
              <c:f>Inputs!$A$48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Inputs!$J$48</c:f>
            </c:numRef>
          </c:val>
        </c:ser>
        <c:ser>
          <c:idx val="13"/>
          <c:order val="13"/>
          <c:tx>
            <c:strRef>
              <c:f>Inputs!$A$49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Inputs!$J$49</c:f>
            </c:numRef>
          </c:val>
        </c:ser>
        <c:ser>
          <c:idx val="14"/>
          <c:order val="14"/>
          <c:tx>
            <c:strRef>
              <c:f>Inputs!$A$50</c:f>
              <c:strCache>
                <c:ptCount val="1"/>
                <c:pt idx="0">
                  <c:v>6-Hour Control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Inputs!$J$50</c:f>
            </c:numRef>
          </c:val>
        </c:ser>
        <c:ser>
          <c:idx val="15"/>
          <c:order val="15"/>
          <c:tx>
            <c:strRef>
              <c:f>Inputs!$A$51</c:f>
              <c:strCache>
                <c:ptCount val="1"/>
                <c:pt idx="0">
                  <c:v>8-Hour Control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Inputs!$J$51</c:f>
              <c:numCache>
                <c:ptCount val="1"/>
                <c:pt idx="0">
                  <c:v>5783.667683296776</c:v>
                </c:pt>
              </c:numCache>
            </c:numRef>
          </c:val>
        </c:ser>
        <c:ser>
          <c:idx val="16"/>
          <c:order val="16"/>
          <c:tx>
            <c:strRef>
              <c:f>Inputs!$A$52</c:f>
              <c:strCache>
                <c:ptCount val="1"/>
                <c:pt idx="0">
                  <c:v>10-Hour Control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Inputs!$J$52</c:f>
              <c:numCache>
                <c:ptCount val="1"/>
                <c:pt idx="0">
                  <c:v>5456.272867743436</c:v>
                </c:pt>
              </c:numCache>
            </c:numRef>
          </c:val>
        </c:ser>
        <c:ser>
          <c:idx val="17"/>
          <c:order val="17"/>
          <c:tx>
            <c:strRef>
              <c:f>Inputs!$A$53</c:f>
              <c:strCache>
                <c:ptCount val="1"/>
                <c:pt idx="0">
                  <c:v>12-Hour Control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Inputs!$J$53</c:f>
              <c:numCache>
                <c:ptCount val="1"/>
                <c:pt idx="0">
                  <c:v>4815.071139594549</c:v>
                </c:pt>
              </c:numCache>
            </c:numRef>
          </c:val>
        </c:ser>
        <c:ser>
          <c:idx val="18"/>
          <c:order val="18"/>
          <c:tx>
            <c:strRef>
              <c:f>Inputs!$A$54</c:f>
              <c:strCache>
                <c:ptCount val="1"/>
                <c:pt idx="0">
                  <c:v>Daily Control (9 am - 11 pm)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Inputs!$J$54</c:f>
              <c:numCache>
                <c:ptCount val="1"/>
                <c:pt idx="0">
                  <c:v>4206.94260519774</c:v>
                </c:pt>
              </c:numCache>
            </c:numRef>
          </c:val>
        </c:ser>
        <c:gapWidth val="50"/>
        <c:axId val="51288418"/>
        <c:axId val="58942579"/>
      </c:barChart>
      <c:catAx>
        <c:axId val="5128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Fuel Options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Cost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1345"/>
          <c:w val="0.13775"/>
          <c:h val="0.7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65"/>
  </sheetViews>
  <pageMargins left="0.5" right="0.5" top="0.5" bottom="0.5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mailto:erppd@erppd.com" TargetMode="External" /><Relationship Id="rId3" Type="http://schemas.openxmlformats.org/officeDocument/2006/relationships/hyperlink" Target="mailto:erppd@erppd.com" TargetMode="External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17</xdr:row>
      <xdr:rowOff>19050</xdr:rowOff>
    </xdr:from>
    <xdr:to>
      <xdr:col>8</xdr:col>
      <xdr:colOff>419100</xdr:colOff>
      <xdr:row>24</xdr:row>
      <xdr:rowOff>114300</xdr:rowOff>
    </xdr:to>
    <xdr:pic>
      <xdr:nvPicPr>
        <xdr:cNvPr id="1" name="Picture 9" descr="[logo]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371850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5</xdr:row>
      <xdr:rowOff>114300</xdr:rowOff>
    </xdr:from>
    <xdr:to>
      <xdr:col>10</xdr:col>
      <xdr:colOff>514350</xdr:colOff>
      <xdr:row>7</xdr:row>
      <xdr:rowOff>76200</xdr:rowOff>
    </xdr:to>
    <xdr:pic>
      <xdr:nvPicPr>
        <xdr:cNvPr id="2" name="cmdRat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1590675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</cdr:y>
    </cdr:from>
    <cdr:to>
      <cdr:x>0.97825</cdr:x>
      <cdr:y>0.13275</cdr:y>
    </cdr:to>
    <cdr:pic>
      <cdr:nvPicPr>
        <cdr:cNvPr id="1" name="Picture 4" descr="Elkhorn logo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62900" y="0"/>
          <a:ext cx="971550" cy="904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0</xdr:rowOff>
    </xdr:from>
    <xdr:to>
      <xdr:col>4</xdr:col>
      <xdr:colOff>257175</xdr:colOff>
      <xdr:row>4</xdr:row>
      <xdr:rowOff>28575</xdr:rowOff>
    </xdr:to>
    <xdr:pic>
      <xdr:nvPicPr>
        <xdr:cNvPr id="1" name="Picture 5" descr="Elkhor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0"/>
          <a:ext cx="1057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8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20.00390625" style="2" customWidth="1"/>
    <col min="2" max="2" width="8.57421875" style="2" customWidth="1"/>
    <col min="3" max="3" width="9.140625" style="2" customWidth="1"/>
    <col min="4" max="4" width="11.140625" style="2" customWidth="1"/>
    <col min="5" max="5" width="11.140625" style="2" bestFit="1" customWidth="1"/>
    <col min="6" max="6" width="0.2890625" style="2" customWidth="1"/>
    <col min="7" max="7" width="9.57421875" style="2" customWidth="1"/>
    <col min="8" max="8" width="11.140625" style="2" customWidth="1"/>
    <col min="9" max="10" width="9.28125" style="2" bestFit="1" customWidth="1"/>
    <col min="11" max="12" width="9.140625" style="2" customWidth="1"/>
    <col min="13" max="13" width="7.8515625" style="2" customWidth="1"/>
    <col min="14" max="16384" width="9.140625" style="2" customWidth="1"/>
  </cols>
  <sheetData>
    <row r="1" spans="1:10" s="97" customFormat="1" ht="37.5" customHeight="1">
      <c r="A1" s="208" t="str">
        <f>WSName</f>
        <v>Elkhorn Rural Public Power District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97" customFormat="1" ht="37.5" customHeight="1">
      <c r="A2" s="165" t="s">
        <v>123</v>
      </c>
      <c r="B2" s="166"/>
      <c r="C2" s="166"/>
      <c r="D2" s="166"/>
      <c r="E2" s="165" t="s">
        <v>124</v>
      </c>
      <c r="F2" s="166"/>
      <c r="G2" s="166"/>
      <c r="H2" s="20" t="s">
        <v>125</v>
      </c>
      <c r="I2" s="167"/>
      <c r="J2" s="166"/>
    </row>
    <row r="3" spans="1:4" ht="15.75">
      <c r="A3" s="9" t="s">
        <v>0</v>
      </c>
      <c r="D3" s="98">
        <f>OptionCount</f>
        <v>7</v>
      </c>
    </row>
    <row r="4" ht="12.75">
      <c r="A4" s="10"/>
    </row>
    <row r="5" spans="1:4" ht="12.75">
      <c r="A5" s="10" t="s">
        <v>8</v>
      </c>
      <c r="C5" s="156">
        <v>1</v>
      </c>
      <c r="D5" s="11" t="s">
        <v>36</v>
      </c>
    </row>
    <row r="6" spans="1:4" ht="12.75">
      <c r="A6" s="12" t="s">
        <v>1</v>
      </c>
      <c r="C6" s="157">
        <v>800</v>
      </c>
      <c r="D6" s="13" t="s">
        <v>64</v>
      </c>
    </row>
    <row r="7" spans="1:4" ht="12.75">
      <c r="A7" s="11" t="s">
        <v>77</v>
      </c>
      <c r="B7" s="14"/>
      <c r="C7" s="156">
        <v>130</v>
      </c>
      <c r="D7" s="12" t="s">
        <v>2</v>
      </c>
    </row>
    <row r="8" spans="1:4" ht="12.75">
      <c r="A8" s="11" t="s">
        <v>37</v>
      </c>
      <c r="C8" s="158">
        <v>9</v>
      </c>
      <c r="D8" s="13" t="s">
        <v>83</v>
      </c>
    </row>
    <row r="9" spans="1:4" ht="12.75">
      <c r="A9" s="12" t="s">
        <v>38</v>
      </c>
      <c r="B9" s="14"/>
      <c r="C9" s="159">
        <f>ROUND((AIperA*Acres*27154)/(GPM*60),0)</f>
        <v>662</v>
      </c>
      <c r="D9" s="11" t="s">
        <v>84</v>
      </c>
    </row>
    <row r="10" spans="1:8" ht="12.75">
      <c r="A10" s="12" t="s">
        <v>3</v>
      </c>
      <c r="C10" s="156">
        <v>150</v>
      </c>
      <c r="D10" s="4" t="s">
        <v>108</v>
      </c>
      <c r="E10" s="111"/>
      <c r="F10" s="12"/>
      <c r="G10" s="88" t="str">
        <f>IF(NamePlateHP="",A1&amp;"  "&amp;LEFT(D41,LEN(D41)-1),A1&amp;"  "&amp;NamePlateHP&amp;" HP")</f>
        <v>Elkhorn Rural Public Power District  55.37 KW</v>
      </c>
      <c r="H10" s="112"/>
    </row>
    <row r="11" spans="1:4" ht="12.75">
      <c r="A11" s="12" t="s">
        <v>4</v>
      </c>
      <c r="C11" s="156">
        <v>35</v>
      </c>
      <c r="D11" s="13" t="s">
        <v>39</v>
      </c>
    </row>
    <row r="12" spans="1:4" ht="12.75">
      <c r="A12" s="11" t="s">
        <v>58</v>
      </c>
      <c r="B12" s="14"/>
      <c r="C12" s="156">
        <v>8</v>
      </c>
      <c r="D12" s="2" t="s">
        <v>40</v>
      </c>
    </row>
    <row r="13" spans="1:6" ht="12.75">
      <c r="A13" s="202" t="s">
        <v>88</v>
      </c>
      <c r="B13" s="203"/>
      <c r="C13" s="205"/>
      <c r="D13" s="204" t="s">
        <v>122</v>
      </c>
      <c r="E13" s="204"/>
      <c r="F13" s="204"/>
    </row>
    <row r="14" spans="1:4" ht="12.75">
      <c r="A14" s="165" t="s">
        <v>135</v>
      </c>
      <c r="B14" s="14"/>
      <c r="C14" s="168">
        <v>0.82</v>
      </c>
      <c r="D14" s="169" t="s">
        <v>139</v>
      </c>
    </row>
    <row r="15" spans="1:4" ht="12.75">
      <c r="A15" s="12"/>
      <c r="B15" s="14"/>
      <c r="C15" s="16"/>
      <c r="D15" s="206" t="s">
        <v>140</v>
      </c>
    </row>
    <row r="16" spans="1:4" ht="7.5" customHeight="1">
      <c r="A16" s="12"/>
      <c r="B16" s="14"/>
      <c r="C16" s="16"/>
      <c r="D16" s="206"/>
    </row>
    <row r="17" spans="1:9" ht="12.75">
      <c r="A17" s="18" t="s">
        <v>74</v>
      </c>
      <c r="B17" s="14"/>
      <c r="C17" s="16"/>
      <c r="D17" s="19" t="s">
        <v>41</v>
      </c>
      <c r="E17" s="211" t="s">
        <v>43</v>
      </c>
      <c r="F17" s="211"/>
      <c r="I17" s="88">
        <v>50</v>
      </c>
    </row>
    <row r="18" spans="1:9" ht="12.75">
      <c r="A18" s="12"/>
      <c r="B18" s="14"/>
      <c r="C18" s="20" t="s">
        <v>66</v>
      </c>
      <c r="D18" s="19" t="s">
        <v>42</v>
      </c>
      <c r="E18" s="211" t="s">
        <v>45</v>
      </c>
      <c r="F18" s="211"/>
      <c r="I18" s="88">
        <v>46</v>
      </c>
    </row>
    <row r="19" spans="1:9" ht="12.75">
      <c r="A19" s="21" t="str">
        <f>+'Look-up Tables'!B2</f>
        <v>Diesel</v>
      </c>
      <c r="B19" s="22" t="str">
        <f>+'Look-up Tables'!$A$5&amp;"/"&amp;'Look-up Tables'!C2</f>
        <v>$/gal</v>
      </c>
      <c r="C19" s="84">
        <v>2.6</v>
      </c>
      <c r="D19" s="85">
        <v>20</v>
      </c>
      <c r="E19" s="211" t="s">
        <v>46</v>
      </c>
      <c r="F19" s="211"/>
      <c r="I19" s="88">
        <v>56.37</v>
      </c>
    </row>
    <row r="20" spans="1:9" ht="12.75">
      <c r="A20" s="21" t="str">
        <f>+'Look-up Tables'!B3</f>
        <v>Natural Gas</v>
      </c>
      <c r="B20" s="22" t="str">
        <f>+'Look-up Tables'!$A$5&amp;"/"&amp;'Look-up Tables'!C3</f>
        <v>$/MCF</v>
      </c>
      <c r="C20" s="84">
        <v>5</v>
      </c>
      <c r="D20" s="84">
        <v>20</v>
      </c>
      <c r="E20" s="86">
        <v>100</v>
      </c>
      <c r="F20" s="11" t="s">
        <v>32</v>
      </c>
      <c r="G20" s="11"/>
      <c r="I20" s="88">
        <v>48.55</v>
      </c>
    </row>
    <row r="21" spans="1:9" ht="12.75">
      <c r="A21" s="21" t="str">
        <f>+'Look-up Tables'!B4</f>
        <v>Propane</v>
      </c>
      <c r="B21" s="22" t="str">
        <f>+'Look-up Tables'!$A$5&amp;"/"&amp;'Look-up Tables'!C4</f>
        <v>$/gal</v>
      </c>
      <c r="C21" s="84">
        <v>1.4</v>
      </c>
      <c r="D21" s="87">
        <v>20</v>
      </c>
      <c r="E21" s="23"/>
      <c r="H21" s="212"/>
      <c r="I21" s="88">
        <v>17.25</v>
      </c>
    </row>
    <row r="22" spans="1:9" ht="12.75">
      <c r="A22" s="21" t="str">
        <f>+'Look-up Tables'!B5</f>
        <v>Electric</v>
      </c>
      <c r="B22" s="22" t="str">
        <f>+'Look-up Tables'!$A$5&amp;"/"&amp;'Look-up Tables'!C5</f>
        <v>$/KWH</v>
      </c>
      <c r="C22" s="141" t="s">
        <v>106</v>
      </c>
      <c r="D22" s="84">
        <v>20</v>
      </c>
      <c r="E22" s="207"/>
      <c r="F22" s="11"/>
      <c r="G22" s="11"/>
      <c r="H22" s="212"/>
      <c r="I22" s="88">
        <v>6.9</v>
      </c>
    </row>
    <row r="23" spans="1:9" ht="12.75">
      <c r="A23" s="21" t="str">
        <f>+'Look-up Tables'!B6</f>
        <v>Gasoline</v>
      </c>
      <c r="B23" s="22" t="str">
        <f>+'Look-up Tables'!$A$5&amp;"/"&amp;'Look-up Tables'!C6</f>
        <v>$/gal</v>
      </c>
      <c r="C23" s="84">
        <v>2</v>
      </c>
      <c r="D23" s="99">
        <v>20</v>
      </c>
      <c r="H23" s="212"/>
      <c r="I23" s="88">
        <v>25</v>
      </c>
    </row>
    <row r="24" spans="1:9" ht="12.75">
      <c r="A24" s="21" t="s">
        <v>6</v>
      </c>
      <c r="B24" s="24" t="s">
        <v>44</v>
      </c>
      <c r="C24" s="85">
        <v>15</v>
      </c>
      <c r="H24" s="212"/>
      <c r="I24" s="88">
        <v>149.65</v>
      </c>
    </row>
    <row r="25" spans="1:9" ht="12.75">
      <c r="A25" s="21" t="s">
        <v>65</v>
      </c>
      <c r="B25" s="24" t="s">
        <v>44</v>
      </c>
      <c r="C25" s="85">
        <v>12</v>
      </c>
      <c r="H25" s="212"/>
      <c r="I25" s="88">
        <f>SUM(I17:I24)</f>
        <v>399.72</v>
      </c>
    </row>
    <row r="26" spans="2:9" ht="12.75">
      <c r="B26" s="25"/>
      <c r="C26" s="26"/>
      <c r="H26" s="212"/>
      <c r="I26" s="88"/>
    </row>
    <row r="27" spans="2:8" ht="12.75">
      <c r="B27" s="25"/>
      <c r="C27" s="26"/>
      <c r="H27" s="212"/>
    </row>
    <row r="30" spans="1:13" ht="15.75">
      <c r="A30" s="27" t="s">
        <v>73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63.75">
      <c r="A32" s="29" t="s">
        <v>47</v>
      </c>
      <c r="B32" s="30" t="s">
        <v>2</v>
      </c>
      <c r="C32" s="31" t="s">
        <v>85</v>
      </c>
      <c r="D32" s="30" t="s">
        <v>5</v>
      </c>
      <c r="E32" s="31" t="s">
        <v>48</v>
      </c>
      <c r="G32" s="31" t="s">
        <v>49</v>
      </c>
      <c r="H32" s="31" t="s">
        <v>50</v>
      </c>
      <c r="I32" s="30" t="s">
        <v>51</v>
      </c>
      <c r="J32" s="176" t="s">
        <v>28</v>
      </c>
      <c r="K32" s="30" t="s">
        <v>126</v>
      </c>
      <c r="L32" s="32"/>
    </row>
    <row r="33" spans="1:12" ht="12.75">
      <c r="A33" s="33">
        <f>GPM</f>
        <v>800</v>
      </c>
      <c r="B33" s="34">
        <f>+Acres</f>
        <v>130</v>
      </c>
      <c r="C33" s="35">
        <f>+AIperA</f>
        <v>9</v>
      </c>
      <c r="D33" s="36">
        <f>+C9</f>
        <v>662</v>
      </c>
      <c r="E33" s="34">
        <f>+Lift</f>
        <v>150</v>
      </c>
      <c r="G33" s="34">
        <f>+PSI</f>
        <v>35</v>
      </c>
      <c r="H33" s="15">
        <f>+ROUND(Lift+PSI*2.31,0)</f>
        <v>231</v>
      </c>
      <c r="I33" s="34">
        <f>+C12</f>
        <v>8</v>
      </c>
      <c r="J33" s="15">
        <f>+ROUND(Head*GPM/3960+0.3*Towers,0)</f>
        <v>49</v>
      </c>
      <c r="K33" s="36">
        <f>Elkhorn!D11</f>
        <v>36653.107344632765</v>
      </c>
      <c r="L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2" ht="51.75" customHeight="1" thickBot="1">
      <c r="A35" s="37" t="s">
        <v>52</v>
      </c>
      <c r="B35" s="209" t="s">
        <v>53</v>
      </c>
      <c r="C35" s="210"/>
      <c r="D35" s="37" t="s">
        <v>72</v>
      </c>
      <c r="E35" s="37" t="s">
        <v>54</v>
      </c>
      <c r="F35" s="37" t="s">
        <v>87</v>
      </c>
      <c r="G35" s="37" t="s">
        <v>110</v>
      </c>
      <c r="H35" s="37" t="s">
        <v>71</v>
      </c>
      <c r="I35" s="177" t="s">
        <v>134</v>
      </c>
      <c r="J35" s="37" t="s">
        <v>55</v>
      </c>
      <c r="K35" s="170" t="s">
        <v>129</v>
      </c>
      <c r="L35" s="172" t="s">
        <v>130</v>
      </c>
    </row>
    <row r="36" spans="1:15" ht="12.75">
      <c r="A36" s="106" t="str">
        <f>+A19</f>
        <v>Diesel</v>
      </c>
      <c r="B36" s="38">
        <f>+C19</f>
        <v>2.6</v>
      </c>
      <c r="C36" s="39" t="str">
        <f>+"/"&amp;'Look-up Tables'!C2</f>
        <v>/gal</v>
      </c>
      <c r="D36" s="40" t="str">
        <f>TEXT($J$33/'Look-up Tables'!D2,"0.0")&amp;" "&amp;'Look-up Tables'!C2</f>
        <v>3.9 gal</v>
      </c>
      <c r="E36" s="41">
        <f>$J$33/VLOOKUP($A36,'Look-up Tables'!$B$2:$H$6,3,FALSE)*$C$9*B36</f>
        <v>6747.104</v>
      </c>
      <c r="F36" s="42">
        <v>70</v>
      </c>
      <c r="G36" s="43">
        <f>+ROUND(((Head*GPM/3960/0.7*(0.82/$C$14))+1.5*Towers)*1.15,0)</f>
        <v>90</v>
      </c>
      <c r="H36" s="41">
        <f>(VLOOKUP($A36,'Look-up Tables'!$B$2:$H$6,4,FALSE)*G36*$D$33/1000)+(VLOOKUP($A36,'Look-up Tables'!$B$2:$H$6,5,FALSE)*$D$33/1000*D19)+($J$33*$D$33/VLOOKUP($A36,'Look-up Tables'!$B$2:$H$6,6,FALSE)*$C$24)+($J$33*$D$33/VLOOKUP($A36,'Look-up Tables'!$B$2:$H$6,7,FALSE)*$C$25)</f>
        <v>1126.1723333333334</v>
      </c>
      <c r="I36" s="41"/>
      <c r="J36" s="44">
        <f>+E36+H36+I36</f>
        <v>7873.276333333333</v>
      </c>
      <c r="K36" s="171">
        <f>E36/DieselPrice</f>
        <v>2595.04</v>
      </c>
      <c r="L36" s="172" t="s">
        <v>127</v>
      </c>
      <c r="O36" s="178"/>
    </row>
    <row r="37" spans="1:13" ht="12.75">
      <c r="A37" s="107" t="str">
        <f>+A20</f>
        <v>Natural Gas</v>
      </c>
      <c r="B37" s="46">
        <f>+C20</f>
        <v>5</v>
      </c>
      <c r="C37" s="47" t="str">
        <f>+"/"&amp;'Look-up Tables'!C3</f>
        <v>/MCF</v>
      </c>
      <c r="D37" s="40" t="str">
        <f>TEXT($J$33/'Look-up Tables'!D3,"0.0")&amp;" "&amp;'Look-up Tables'!C3</f>
        <v>0.8 MCF</v>
      </c>
      <c r="E37" s="41">
        <f>$J$33/VLOOKUP($A37,'Look-up Tables'!$B$2:$H$6,3,FALSE)*$C$9*B37</f>
        <v>2628.6871961102106</v>
      </c>
      <c r="F37" s="42">
        <v>70</v>
      </c>
      <c r="G37" s="43">
        <f>+ROUND(((Head*GPM/3960/0.7*(0.82/$C$14))+1.5*Towers)*1.15,0)</f>
        <v>90</v>
      </c>
      <c r="H37" s="41">
        <f>(VLOOKUP($A37,'Look-up Tables'!$B$2:$H$6,4,FALSE)*G37*$D$33/1000)+(VLOOKUP($A37,'Look-up Tables'!$B$2:$H$6,5,FALSE)*$D$33/1000*D20)+($J$33*$D$33/VLOOKUP($A37,'Look-up Tables'!$B$2:$H$6,6,FALSE)*$C$24)+($J$33*$D$33/VLOOKUP($A37,'Look-up Tables'!$B$2:$H$6,7,FALSE)*$C$25)</f>
        <v>1378.1185</v>
      </c>
      <c r="I37" s="48">
        <f>+E20</f>
        <v>100</v>
      </c>
      <c r="J37" s="48">
        <f>+E37+H37+I37</f>
        <v>4106.80569611021</v>
      </c>
      <c r="K37" s="171">
        <f>E37/NaturalGasPrice*10</f>
        <v>5257.374392220421</v>
      </c>
      <c r="L37" s="172" t="s">
        <v>128</v>
      </c>
      <c r="M37" s="49"/>
    </row>
    <row r="38" spans="1:12" ht="12.75">
      <c r="A38" s="108" t="str">
        <f>+A21</f>
        <v>Propane</v>
      </c>
      <c r="B38" s="46">
        <f>+C21</f>
        <v>1.4</v>
      </c>
      <c r="C38" s="47" t="str">
        <f>+"/"&amp;'Look-up Tables'!C4</f>
        <v>/gal</v>
      </c>
      <c r="D38" s="40" t="str">
        <f>TEXT($J$33/'Look-up Tables'!D4,"0.0")&amp;" "&amp;'Look-up Tables'!C4</f>
        <v>7.1 gal</v>
      </c>
      <c r="E38" s="41">
        <f>$J$33/VLOOKUP($A38,'Look-up Tables'!$B$2:$H$6,3,FALSE)*$C$9*B38</f>
        <v>6591.175616835994</v>
      </c>
      <c r="F38" s="42">
        <v>70</v>
      </c>
      <c r="G38" s="43">
        <f>+ROUND(((Head*GPM/3960/0.7*(0.82/$C$14))+1.5*Towers)*1.15,0)</f>
        <v>90</v>
      </c>
      <c r="H38" s="41">
        <f>(VLOOKUP($A38,'Look-up Tables'!$B$2:$H$6,4,FALSE)*G38*$D$33/1000)+(VLOOKUP($A38,'Look-up Tables'!$B$2:$H$6,5,FALSE)*$D$33/1000*D21)+($J$33*$D$33/VLOOKUP($A38,'Look-up Tables'!$B$2:$H$6,6,FALSE)*$C$24)+($J$33*$D$33/VLOOKUP($A38,'Look-up Tables'!$B$2:$H$6,7,FALSE)*$C$25)</f>
        <v>1378.1185</v>
      </c>
      <c r="I38" s="48"/>
      <c r="J38" s="48">
        <f>+E38+H38+I38</f>
        <v>7969.294116835994</v>
      </c>
      <c r="K38" s="171">
        <f>E38/PropanePrice</f>
        <v>4707.982583454282</v>
      </c>
      <c r="L38" s="172" t="s">
        <v>127</v>
      </c>
    </row>
    <row r="39" spans="1:12" ht="12.75">
      <c r="A39" s="109" t="str">
        <f>+A23</f>
        <v>Gasoline</v>
      </c>
      <c r="B39" s="46">
        <f>+C23</f>
        <v>2</v>
      </c>
      <c r="C39" s="47" t="str">
        <f>+"/"&amp;'Look-up Tables'!C6</f>
        <v>/gal</v>
      </c>
      <c r="D39" s="40" t="str">
        <f>TEXT($J$33/'Look-up Tables'!D6,"0.0")&amp;" "&amp;'Look-up Tables'!C6</f>
        <v>5.7 gal</v>
      </c>
      <c r="E39" s="41">
        <f>$J$33/VLOOKUP($A39,'Look-up Tables'!$B$2:$H$6,3,FALSE)*$C$9*B39</f>
        <v>7491.454965357968</v>
      </c>
      <c r="F39" s="42">
        <v>70</v>
      </c>
      <c r="G39" s="43">
        <f>+ROUND(((Head*GPM/3960/0.7*(0.82/$C$14))+1.5*Towers)*1.15,0)</f>
        <v>90</v>
      </c>
      <c r="H39" s="41">
        <f>(VLOOKUP($A39,'Look-up Tables'!$B$2:$H$6,4,FALSE)*G39*$D$33/1000)+(VLOOKUP($A39,'Look-up Tables'!$B$2:$H$6,5,FALSE)*$D$33/1000*D23)+($J$33*$D$33/VLOOKUP($A39,'Look-up Tables'!$B$2:$H$6,6,FALSE)*$C$24)+($J$33*$D$33/VLOOKUP($A39,'Look-up Tables'!$B$2:$H$6,7,FALSE)*$C$25)</f>
        <v>1422.8035000000002</v>
      </c>
      <c r="I39" s="48"/>
      <c r="J39" s="48">
        <f>+E39+H39+I39</f>
        <v>8914.258465357969</v>
      </c>
      <c r="K39" s="171">
        <f>E39/GasolinePrice</f>
        <v>3745.727482678984</v>
      </c>
      <c r="L39" s="172" t="s">
        <v>127</v>
      </c>
    </row>
    <row r="40" spans="1:12" ht="12.75">
      <c r="A40" s="143" t="s">
        <v>107</v>
      </c>
      <c r="B40" s="144"/>
      <c r="C40" s="145"/>
      <c r="D40" s="146"/>
      <c r="E40" s="147"/>
      <c r="F40" s="148"/>
      <c r="G40" s="149"/>
      <c r="H40" s="150"/>
      <c r="I40" s="150"/>
      <c r="J40" s="151"/>
      <c r="K40" s="171"/>
      <c r="L40" s="172"/>
    </row>
    <row r="41" spans="1:15" s="96" customFormat="1" ht="12.75">
      <c r="A41" s="110" t="str">
        <f>IF(NamePlateHP="",Option1,IF(O1UPHP&lt;0.0001,"N/A - Clear Name Plate HP",Option1))</f>
        <v>Full Time - Pumping</v>
      </c>
      <c r="B41" s="89">
        <f>IF(NamePlateHP="",O1UP,IF(O1UPHP&lt;0.0001,0,O1UPHP))</f>
        <v>0.09082432912742136</v>
      </c>
      <c r="C41" s="90" t="str">
        <f>"/"&amp;"kWh"</f>
        <v>/kWh</v>
      </c>
      <c r="D41" s="91" t="str">
        <f>TEXT($J$33/'Look-up Tables'!$D$5,"0.00")&amp;" "&amp;'Look-up Tables'!$C$5</f>
        <v>55.37 KWH</v>
      </c>
      <c r="E41" s="92">
        <f>$J$33/VLOOKUP($A$22,'Look-up Tables'!$B$2:$H$6,3,FALSE)*$C$9*B41</f>
        <v>3328.9938850116314</v>
      </c>
      <c r="F41" s="142">
        <v>75</v>
      </c>
      <c r="G41" s="43">
        <f>+ROUND(((Head*GPM/3960/0.75*(0.82/$C$14))+1.5*Towers),0)</f>
        <v>74</v>
      </c>
      <c r="H41" s="92">
        <f>(VLOOKUP($A$22,'Look-up Tables'!$B$2:$H$6,4,FALSE)*G41*$D$33/1000)+(VLOOKUP($A$22,'Look-up Tables'!$B$2:$H$6,5,FALSE)*$D$33/1000*$D$22)+($J$33*$D$33/VLOOKUP($A$22,'Look-up Tables'!$B$2:$H$6,7,FALSE)*$C$25)</f>
        <v>392.48656000000005</v>
      </c>
      <c r="I41" s="94">
        <f>Elkhorn!D22</f>
        <v>3256</v>
      </c>
      <c r="J41" s="94">
        <f>+E41+H41+I41</f>
        <v>6977.480445011632</v>
      </c>
      <c r="K41" s="173">
        <f aca="true" t="shared" si="0" ref="K41:K54">$K$33</f>
        <v>36653.107344632765</v>
      </c>
      <c r="L41" s="174" t="s">
        <v>126</v>
      </c>
      <c r="O41" s="2"/>
    </row>
    <row r="42" spans="1:15" s="96" customFormat="1" ht="12.75">
      <c r="A42" s="110" t="str">
        <f>IF(NamePlateHP="",Option2,IF(O2UPHP&lt;0.0001,"N/A - Clear Name Plate HP",Option2))</f>
        <v>4-Hour Control</v>
      </c>
      <c r="B42" s="89">
        <f>IF(NamePlateHP="",O2UP,IF(O2UPHP&lt;0.0001,0,O2UPHP))</f>
        <v>0.08701261773591612</v>
      </c>
      <c r="C42" s="90" t="str">
        <f>"/"&amp;"kWh"</f>
        <v>/kWh</v>
      </c>
      <c r="D42" s="91" t="str">
        <f>TEXT($J$33/'Look-up Tables'!$D$5,"0.00")&amp;" "&amp;'Look-up Tables'!$C$5</f>
        <v>55.37 KWH</v>
      </c>
      <c r="E42" s="92">
        <f>$J$33/VLOOKUP($A$22,'Look-up Tables'!$B$2:$H$6,3,FALSE)*$C$9*B42</f>
        <v>3189.28281821203</v>
      </c>
      <c r="F42" s="93">
        <f>F41</f>
        <v>75</v>
      </c>
      <c r="G42" s="43">
        <f>+ROUND(((Head*GPM/3960/0.75*(0.82/$C$14))+1.5*Towers),0)</f>
        <v>74</v>
      </c>
      <c r="H42" s="92">
        <f>(VLOOKUP($A$22,'Look-up Tables'!$B$2:$H$6,4,FALSE)*G42*$D$33/1000)+(VLOOKUP($A$22,'Look-up Tables'!$B$2:$H$6,5,FALSE)*$D$33/1000*$D$22)+($J$33*$D$33/VLOOKUP($A$22,'Look-up Tables'!$B$2:$H$6,7,FALSE)*$C$25)</f>
        <v>392.48656000000005</v>
      </c>
      <c r="I42" s="94">
        <f>Elkhorn!D42</f>
        <v>2886</v>
      </c>
      <c r="J42" s="94">
        <f>+E42+H42+I42</f>
        <v>6467.7693782120305</v>
      </c>
      <c r="K42" s="173">
        <f t="shared" si="0"/>
        <v>36653.107344632765</v>
      </c>
      <c r="L42" s="174" t="s">
        <v>126</v>
      </c>
      <c r="O42" s="2"/>
    </row>
    <row r="43" spans="1:15" s="96" customFormat="1" ht="12.75">
      <c r="A43" s="110" t="str">
        <f>IF(NamePlateHP="",Option3,IF(O3UPHP&lt;0.0001,"N/A - Clear Name Plate HP",Option3))</f>
        <v>6-Hour Control</v>
      </c>
      <c r="B43" s="89">
        <f>IF(NamePlateHP="",O3UP,IF(O3UPHP&lt;0.0001,0,O3UPHP))</f>
        <v>0.08488004265150167</v>
      </c>
      <c r="C43" s="90" t="str">
        <f>"/"&amp;"kWh"</f>
        <v>/kWh</v>
      </c>
      <c r="D43" s="91" t="str">
        <f>TEXT($J$33/'Look-up Tables'!$D$5,"0.00")&amp;" "&amp;'Look-up Tables'!$C$5</f>
        <v>55.37 KWH</v>
      </c>
      <c r="E43" s="92">
        <f>$J$33/VLOOKUP($A$22,'Look-up Tables'!$B$2:$H$6,3,FALSE)*$C$9*B43</f>
        <v>3111.1173147224986</v>
      </c>
      <c r="F43" s="93">
        <f>F41</f>
        <v>75</v>
      </c>
      <c r="G43" s="43">
        <f>+ROUND(((Head*GPM/3960/0.75*(0.82/$C$14))+1.5*Towers),0)</f>
        <v>74</v>
      </c>
      <c r="H43" s="92">
        <f>(VLOOKUP($A$22,'Look-up Tables'!$B$2:$H$6,4,FALSE)*G43*$D$33/1000)+(VLOOKUP($A$22,'Look-up Tables'!$B$2:$H$6,5,FALSE)*$D$33/1000*$D$22)+($J$33*$D$33/VLOOKUP($A$22,'Look-up Tables'!$B$2:$H$6,7,FALSE)*$C$25)</f>
        <v>392.48656000000005</v>
      </c>
      <c r="I43" s="94">
        <f>Elkhorn!D62</f>
        <v>2627</v>
      </c>
      <c r="J43" s="94">
        <f>+E43+H43+I43</f>
        <v>6130.603874722498</v>
      </c>
      <c r="K43" s="173">
        <f t="shared" si="0"/>
        <v>36653.107344632765</v>
      </c>
      <c r="L43" s="174" t="s">
        <v>126</v>
      </c>
      <c r="O43" s="2"/>
    </row>
    <row r="44" spans="1:15" s="96" customFormat="1" ht="12.75" hidden="1">
      <c r="A44" s="110" t="str">
        <f aca="true" t="shared" si="1" ref="A44:A50">IF(NamePlateHP="",Option3,IF(O3UPHP&lt;0.0001,"N/A - Clear Name Plate HP",Option3))</f>
        <v>6-Hour Control</v>
      </c>
      <c r="B44" s="89">
        <f aca="true" t="shared" si="2" ref="B44:B50">IF(NamePlateHP="",O3UP,IF(O3UPHP&lt;0.0001,0,O3UPHP))</f>
        <v>0.08488004265150167</v>
      </c>
      <c r="C44" s="90" t="str">
        <f aca="true" t="shared" si="3" ref="C44:C54">"/"&amp;"kWh"</f>
        <v>/kWh</v>
      </c>
      <c r="D44" s="91" t="str">
        <f>TEXT($J$33/'Look-up Tables'!$D$5,"0.00")&amp;" "&amp;'Look-up Tables'!$C$5</f>
        <v>55.37 KWH</v>
      </c>
      <c r="E44" s="92">
        <f>$J$33/VLOOKUP($A$22,'Look-up Tables'!$B$2:$H$6,3,FALSE)*$C$9*B44</f>
        <v>3111.1173147224986</v>
      </c>
      <c r="F44" s="93">
        <f aca="true" t="shared" si="4" ref="F44:F54">F42</f>
        <v>75</v>
      </c>
      <c r="G44" s="43">
        <f aca="true" t="shared" si="5" ref="G44:G50">+ROUND(((Head*GPM/3960/(F44/100)*(0.82/$C$14))+1.5*Towers),0)</f>
        <v>74</v>
      </c>
      <c r="H44" s="92">
        <f>(VLOOKUP($A$22,'Look-up Tables'!$B$2:$H$6,4,FALSE)*G44*$D$33/1000)+(VLOOKUP($A$22,'Look-up Tables'!$B$2:$H$6,5,FALSE)*$D$33/1000*$D$22)+($J$33*$D$33/VLOOKUP($A$22,'Look-up Tables'!$B$2:$H$6,7,FALSE)*$C$25)</f>
        <v>392.48656000000005</v>
      </c>
      <c r="I44" s="94">
        <f aca="true" t="shared" si="6" ref="I44:I50">IF(NamePlateHP="",Option3Ttl,IF(Option3TtlHP&lt;0.0001,0,Option3TtlHP))</f>
        <v>3607.5</v>
      </c>
      <c r="J44" s="94">
        <f aca="true" t="shared" si="7" ref="J44:J54">+E44+H44+I44</f>
        <v>7111.103874722498</v>
      </c>
      <c r="K44" s="173">
        <f t="shared" si="0"/>
        <v>36653.107344632765</v>
      </c>
      <c r="L44" s="174" t="s">
        <v>126</v>
      </c>
      <c r="O44" s="2"/>
    </row>
    <row r="45" spans="1:15" s="96" customFormat="1" ht="12.75" hidden="1">
      <c r="A45" s="110" t="str">
        <f t="shared" si="1"/>
        <v>6-Hour Control</v>
      </c>
      <c r="B45" s="89">
        <f t="shared" si="2"/>
        <v>0.08488004265150167</v>
      </c>
      <c r="C45" s="90" t="str">
        <f t="shared" si="3"/>
        <v>/kWh</v>
      </c>
      <c r="D45" s="91" t="str">
        <f>TEXT($J$33/'Look-up Tables'!$D$5,"0.00")&amp;" "&amp;'Look-up Tables'!$C$5</f>
        <v>55.37 KWH</v>
      </c>
      <c r="E45" s="92">
        <f>$J$33/VLOOKUP($A$22,'Look-up Tables'!$B$2:$H$6,3,FALSE)*$C$9*B45</f>
        <v>3111.1173147224986</v>
      </c>
      <c r="F45" s="93">
        <f t="shared" si="4"/>
        <v>75</v>
      </c>
      <c r="G45" s="43">
        <f t="shared" si="5"/>
        <v>74</v>
      </c>
      <c r="H45" s="92">
        <f>(VLOOKUP($A$22,'Look-up Tables'!$B$2:$H$6,4,FALSE)*G45*$D$33/1000)+(VLOOKUP($A$22,'Look-up Tables'!$B$2:$H$6,5,FALSE)*$D$33/1000*$D$22)+($J$33*$D$33/VLOOKUP($A$22,'Look-up Tables'!$B$2:$H$6,7,FALSE)*$C$25)</f>
        <v>392.48656000000005</v>
      </c>
      <c r="I45" s="94">
        <f t="shared" si="6"/>
        <v>3607.5</v>
      </c>
      <c r="J45" s="94">
        <f t="shared" si="7"/>
        <v>7111.103874722498</v>
      </c>
      <c r="K45" s="173">
        <f t="shared" si="0"/>
        <v>36653.107344632765</v>
      </c>
      <c r="L45" s="174" t="s">
        <v>126</v>
      </c>
      <c r="O45" s="2"/>
    </row>
    <row r="46" spans="1:15" s="96" customFormat="1" ht="12.75" hidden="1">
      <c r="A46" s="110" t="str">
        <f t="shared" si="1"/>
        <v>6-Hour Control</v>
      </c>
      <c r="B46" s="89">
        <f t="shared" si="2"/>
        <v>0.08488004265150167</v>
      </c>
      <c r="C46" s="90" t="str">
        <f t="shared" si="3"/>
        <v>/kWh</v>
      </c>
      <c r="D46" s="91" t="str">
        <f>TEXT($J$33/'Look-up Tables'!$D$5,"0.00")&amp;" "&amp;'Look-up Tables'!$C$5</f>
        <v>55.37 KWH</v>
      </c>
      <c r="E46" s="92">
        <f>$J$33/VLOOKUP($A$22,'Look-up Tables'!$B$2:$H$6,3,FALSE)*$C$9*B46</f>
        <v>3111.1173147224986</v>
      </c>
      <c r="F46" s="93">
        <f t="shared" si="4"/>
        <v>75</v>
      </c>
      <c r="G46" s="43">
        <f t="shared" si="5"/>
        <v>74</v>
      </c>
      <c r="H46" s="92">
        <f>(VLOOKUP($A$22,'Look-up Tables'!$B$2:$H$6,4,FALSE)*G46*$D$33/1000)+(VLOOKUP($A$22,'Look-up Tables'!$B$2:$H$6,5,FALSE)*$D$33/1000*$D$22)+($J$33*$D$33/VLOOKUP($A$22,'Look-up Tables'!$B$2:$H$6,7,FALSE)*$C$25)</f>
        <v>392.48656000000005</v>
      </c>
      <c r="I46" s="94">
        <f t="shared" si="6"/>
        <v>3607.5</v>
      </c>
      <c r="J46" s="94">
        <f t="shared" si="7"/>
        <v>7111.103874722498</v>
      </c>
      <c r="K46" s="173">
        <f t="shared" si="0"/>
        <v>36653.107344632765</v>
      </c>
      <c r="L46" s="174" t="s">
        <v>126</v>
      </c>
      <c r="O46" s="2"/>
    </row>
    <row r="47" spans="1:15" s="96" customFormat="1" ht="12.75" hidden="1">
      <c r="A47" s="110" t="str">
        <f t="shared" si="1"/>
        <v>6-Hour Control</v>
      </c>
      <c r="B47" s="89">
        <f t="shared" si="2"/>
        <v>0.08488004265150167</v>
      </c>
      <c r="C47" s="90" t="str">
        <f t="shared" si="3"/>
        <v>/kWh</v>
      </c>
      <c r="D47" s="91" t="str">
        <f>TEXT($J$33/'Look-up Tables'!$D$5,"0.00")&amp;" "&amp;'Look-up Tables'!$C$5</f>
        <v>55.37 KWH</v>
      </c>
      <c r="E47" s="92">
        <f>$J$33/VLOOKUP($A$22,'Look-up Tables'!$B$2:$H$6,3,FALSE)*$C$9*B47</f>
        <v>3111.1173147224986</v>
      </c>
      <c r="F47" s="93">
        <f t="shared" si="4"/>
        <v>75</v>
      </c>
      <c r="G47" s="43">
        <f t="shared" si="5"/>
        <v>74</v>
      </c>
      <c r="H47" s="92">
        <f>(VLOOKUP($A$22,'Look-up Tables'!$B$2:$H$6,4,FALSE)*G47*$D$33/1000)+(VLOOKUP($A$22,'Look-up Tables'!$B$2:$H$6,5,FALSE)*$D$33/1000*$D$22)+($J$33*$D$33/VLOOKUP($A$22,'Look-up Tables'!$B$2:$H$6,7,FALSE)*$C$25)</f>
        <v>392.48656000000005</v>
      </c>
      <c r="I47" s="94">
        <f t="shared" si="6"/>
        <v>3607.5</v>
      </c>
      <c r="J47" s="94">
        <f t="shared" si="7"/>
        <v>7111.103874722498</v>
      </c>
      <c r="K47" s="173">
        <f t="shared" si="0"/>
        <v>36653.107344632765</v>
      </c>
      <c r="L47" s="174" t="s">
        <v>126</v>
      </c>
      <c r="O47" s="2"/>
    </row>
    <row r="48" spans="1:15" s="96" customFormat="1" ht="12.75" hidden="1">
      <c r="A48" s="110" t="str">
        <f t="shared" si="1"/>
        <v>6-Hour Control</v>
      </c>
      <c r="B48" s="89">
        <f t="shared" si="2"/>
        <v>0.08488004265150167</v>
      </c>
      <c r="C48" s="90" t="str">
        <f t="shared" si="3"/>
        <v>/kWh</v>
      </c>
      <c r="D48" s="91" t="str">
        <f>TEXT($J$33/'Look-up Tables'!$D$5,"0.00")&amp;" "&amp;'Look-up Tables'!$C$5</f>
        <v>55.37 KWH</v>
      </c>
      <c r="E48" s="92">
        <f>$J$33/VLOOKUP($A$22,'Look-up Tables'!$B$2:$H$6,3,FALSE)*$C$9*B48</f>
        <v>3111.1173147224986</v>
      </c>
      <c r="F48" s="93">
        <f t="shared" si="4"/>
        <v>75</v>
      </c>
      <c r="G48" s="43">
        <f t="shared" si="5"/>
        <v>74</v>
      </c>
      <c r="H48" s="92">
        <f>(VLOOKUP($A$22,'Look-up Tables'!$B$2:$H$6,4,FALSE)*G48*$D$33/1000)+(VLOOKUP($A$22,'Look-up Tables'!$B$2:$H$6,5,FALSE)*$D$33/1000*$D$22)+($J$33*$D$33/VLOOKUP($A$22,'Look-up Tables'!$B$2:$H$6,7,FALSE)*$C$25)</f>
        <v>392.48656000000005</v>
      </c>
      <c r="I48" s="94">
        <f t="shared" si="6"/>
        <v>3607.5</v>
      </c>
      <c r="J48" s="94">
        <f t="shared" si="7"/>
        <v>7111.103874722498</v>
      </c>
      <c r="K48" s="173">
        <f t="shared" si="0"/>
        <v>36653.107344632765</v>
      </c>
      <c r="L48" s="174" t="s">
        <v>126</v>
      </c>
      <c r="O48" s="2"/>
    </row>
    <row r="49" spans="1:15" s="96" customFormat="1" ht="12.75" hidden="1">
      <c r="A49" s="110" t="str">
        <f t="shared" si="1"/>
        <v>6-Hour Control</v>
      </c>
      <c r="B49" s="89">
        <f t="shared" si="2"/>
        <v>0.08488004265150167</v>
      </c>
      <c r="C49" s="90" t="str">
        <f t="shared" si="3"/>
        <v>/kWh</v>
      </c>
      <c r="D49" s="91" t="str">
        <f>TEXT($J$33/'Look-up Tables'!$D$5,"0.00")&amp;" "&amp;'Look-up Tables'!$C$5</f>
        <v>55.37 KWH</v>
      </c>
      <c r="E49" s="92">
        <f>$J$33/VLOOKUP($A$22,'Look-up Tables'!$B$2:$H$6,3,FALSE)*$C$9*B49</f>
        <v>3111.1173147224986</v>
      </c>
      <c r="F49" s="93">
        <f t="shared" si="4"/>
        <v>75</v>
      </c>
      <c r="G49" s="43">
        <f t="shared" si="5"/>
        <v>74</v>
      </c>
      <c r="H49" s="92">
        <f>(VLOOKUP($A$22,'Look-up Tables'!$B$2:$H$6,4,FALSE)*G49*$D$33/1000)+(VLOOKUP($A$22,'Look-up Tables'!$B$2:$H$6,5,FALSE)*$D$33/1000*$D$22)+($J$33*$D$33/VLOOKUP($A$22,'Look-up Tables'!$B$2:$H$6,7,FALSE)*$C$25)</f>
        <v>392.48656000000005</v>
      </c>
      <c r="I49" s="94">
        <f t="shared" si="6"/>
        <v>3607.5</v>
      </c>
      <c r="J49" s="94">
        <f t="shared" si="7"/>
        <v>7111.103874722498</v>
      </c>
      <c r="K49" s="173">
        <f t="shared" si="0"/>
        <v>36653.107344632765</v>
      </c>
      <c r="L49" s="174" t="s">
        <v>126</v>
      </c>
      <c r="O49" s="2"/>
    </row>
    <row r="50" spans="1:15" s="96" customFormat="1" ht="12.75" hidden="1">
      <c r="A50" s="110" t="str">
        <f t="shared" si="1"/>
        <v>6-Hour Control</v>
      </c>
      <c r="B50" s="89">
        <f t="shared" si="2"/>
        <v>0.08488004265150167</v>
      </c>
      <c r="C50" s="90" t="str">
        <f t="shared" si="3"/>
        <v>/kWh</v>
      </c>
      <c r="D50" s="91" t="str">
        <f>TEXT($J$33/'Look-up Tables'!$D$5,"0.00")&amp;" "&amp;'Look-up Tables'!$C$5</f>
        <v>55.37 KWH</v>
      </c>
      <c r="E50" s="92">
        <f>$J$33/VLOOKUP($A$22,'Look-up Tables'!$B$2:$H$6,3,FALSE)*$C$9*B50</f>
        <v>3111.1173147224986</v>
      </c>
      <c r="F50" s="93">
        <f t="shared" si="4"/>
        <v>75</v>
      </c>
      <c r="G50" s="43">
        <f t="shared" si="5"/>
        <v>74</v>
      </c>
      <c r="H50" s="92">
        <f>(VLOOKUP($A$22,'Look-up Tables'!$B$2:$H$6,4,FALSE)*G50*$D$33/1000)+(VLOOKUP($A$22,'Look-up Tables'!$B$2:$H$6,5,FALSE)*$D$33/1000*$D$22)+($J$33*$D$33/VLOOKUP($A$22,'Look-up Tables'!$B$2:$H$6,7,FALSE)*$C$25)</f>
        <v>392.48656000000005</v>
      </c>
      <c r="I50" s="94">
        <f t="shared" si="6"/>
        <v>3607.5</v>
      </c>
      <c r="J50" s="94">
        <f t="shared" si="7"/>
        <v>7111.103874722498</v>
      </c>
      <c r="K50" s="173">
        <f t="shared" si="0"/>
        <v>36653.107344632765</v>
      </c>
      <c r="L50" s="174" t="s">
        <v>126</v>
      </c>
      <c r="O50" s="2"/>
    </row>
    <row r="51" spans="1:15" s="96" customFormat="1" ht="12.75">
      <c r="A51" s="110" t="str">
        <f>IF(NamePlateHP="",Option4,IF(O3UPHP&lt;0.0001,"N/A - Clear Name Plate HP",Option4))</f>
        <v>8-Hour Control</v>
      </c>
      <c r="B51" s="89">
        <f>IF(NamePlateHP="",O4UP,IF(O4UPHP&lt;0.0001,0,O4UPHP))</f>
        <v>0.08248089568153545</v>
      </c>
      <c r="C51" s="90" t="str">
        <f t="shared" si="3"/>
        <v>/kWh</v>
      </c>
      <c r="D51" s="91" t="str">
        <f>TEXT($J$33/'Look-up Tables'!$D$5,"0.00")&amp;" "&amp;'Look-up Tables'!$C$5</f>
        <v>55.37 KWH</v>
      </c>
      <c r="E51" s="92">
        <f>$J$33/VLOOKUP($A$22,'Look-up Tables'!$B$2:$H$6,3,FALSE)*$C$9*B51</f>
        <v>3023.181123296776</v>
      </c>
      <c r="F51" s="93">
        <f>F49</f>
        <v>75</v>
      </c>
      <c r="G51" s="43">
        <f>+ROUND(((Head*GPM/3960/0.75*(0.82/$C$14))+1.5*Towers),0)</f>
        <v>74</v>
      </c>
      <c r="H51" s="92">
        <f>(VLOOKUP($A$22,'Look-up Tables'!$B$2:$H$6,4,FALSE)*G51*$D$33/1000)+(VLOOKUP($A$22,'Look-up Tables'!$B$2:$H$6,5,FALSE)*$D$33/1000*$D$22)+($J$33*$D$33/VLOOKUP($A$22,'Look-up Tables'!$B$2:$H$6,7,FALSE)*$C$25)</f>
        <v>392.48656000000005</v>
      </c>
      <c r="I51" s="94">
        <f>Elkhorn!D82</f>
        <v>2368</v>
      </c>
      <c r="J51" s="94">
        <f t="shared" si="7"/>
        <v>5783.667683296776</v>
      </c>
      <c r="K51" s="173">
        <f t="shared" si="0"/>
        <v>36653.107344632765</v>
      </c>
      <c r="L51" s="174" t="s">
        <v>126</v>
      </c>
      <c r="O51" s="2"/>
    </row>
    <row r="52" spans="1:15" s="96" customFormat="1" ht="12.75">
      <c r="A52" s="110" t="str">
        <f>IF(NamePlateHP="",Option5,IF(O3UPHP&lt;0.0001,"N/A - Clear Name Plate HP",Option5))</f>
        <v>10-Hour Control</v>
      </c>
      <c r="B52" s="89">
        <f>IF(NamePlateHP="",O5UP,IF(O5UPHP&lt;0.0001,0,O5UPHP))</f>
        <v>0.08061489248267283</v>
      </c>
      <c r="C52" s="90" t="str">
        <f t="shared" si="3"/>
        <v>/kWh</v>
      </c>
      <c r="D52" s="91" t="str">
        <f>TEXT($J$33/'Look-up Tables'!$D$5,"0.00")&amp;" "&amp;'Look-up Tables'!$C$5</f>
        <v>55.37 KWH</v>
      </c>
      <c r="E52" s="92">
        <f>$J$33/VLOOKUP($A$22,'Look-up Tables'!$B$2:$H$6,3,FALSE)*$C$9*B52</f>
        <v>2954.786307743436</v>
      </c>
      <c r="F52" s="93">
        <f>F50</f>
        <v>75</v>
      </c>
      <c r="G52" s="43">
        <f>+ROUND(((Head*GPM/3960/0.75*(0.82/$C$14))+1.5*Towers),0)</f>
        <v>74</v>
      </c>
      <c r="H52" s="92">
        <f>(VLOOKUP($A$22,'Look-up Tables'!$B$2:$H$6,4,FALSE)*G52*$D$33/1000)+(VLOOKUP($A$22,'Look-up Tables'!$B$2:$H$6,5,FALSE)*$D$33/1000*$D$22)+($J$33*$D$33/VLOOKUP($A$22,'Look-up Tables'!$B$2:$H$6,7,FALSE)*$C$25)</f>
        <v>392.48656000000005</v>
      </c>
      <c r="I52" s="94">
        <f>Elkhorn!D102</f>
        <v>2109</v>
      </c>
      <c r="J52" s="94">
        <f t="shared" si="7"/>
        <v>5456.272867743436</v>
      </c>
      <c r="K52" s="173">
        <f t="shared" si="0"/>
        <v>36653.107344632765</v>
      </c>
      <c r="L52" s="174" t="s">
        <v>126</v>
      </c>
      <c r="O52" s="2"/>
    </row>
    <row r="53" spans="1:15" s="96" customFormat="1" ht="12.75">
      <c r="A53" s="110" t="str">
        <f>IF(NamePlateHP="",Option6,IF(O3UPHP&lt;0.0001,"N/A - Clear Name Plate HP",Option6))</f>
        <v>12-Hour Control</v>
      </c>
      <c r="B53" s="89">
        <f>IF(NamePlateHP="",O6UP,IF(O6UPHP&lt;0.0001,0,O6UPHP))</f>
        <v>0.07321574551270658</v>
      </c>
      <c r="C53" s="90" t="str">
        <f t="shared" si="3"/>
        <v>/kWh</v>
      </c>
      <c r="D53" s="91" t="str">
        <f>TEXT($J$33/'Look-up Tables'!$D$5,"0.00")&amp;" "&amp;'Look-up Tables'!$C$5</f>
        <v>55.37 KWH</v>
      </c>
      <c r="E53" s="92">
        <f>$J$33/VLOOKUP($A$22,'Look-up Tables'!$B$2:$H$6,3,FALSE)*$C$9*B53</f>
        <v>2683.5845795945493</v>
      </c>
      <c r="F53" s="93">
        <f t="shared" si="4"/>
        <v>75</v>
      </c>
      <c r="G53" s="43">
        <f>+ROUND(((Head*GPM/3960/0.75*(0.82/$C$14))+1.5*Towers),0)</f>
        <v>74</v>
      </c>
      <c r="H53" s="92">
        <f>(VLOOKUP($A$22,'Look-up Tables'!$B$2:$H$6,4,FALSE)*G53*$D$33/1000)+(VLOOKUP($A$22,'Look-up Tables'!$B$2:$H$6,5,FALSE)*$D$33/1000*$D$22)+($J$33*$D$33/VLOOKUP($A$22,'Look-up Tables'!$B$2:$H$6,7,FALSE)*$C$25)</f>
        <v>392.48656000000005</v>
      </c>
      <c r="I53" s="94">
        <f>Elkhorn!D122</f>
        <v>1739</v>
      </c>
      <c r="J53" s="94">
        <f t="shared" si="7"/>
        <v>4815.071139594549</v>
      </c>
      <c r="K53" s="173">
        <f t="shared" si="0"/>
        <v>36653.107344632765</v>
      </c>
      <c r="L53" s="174" t="s">
        <v>126</v>
      </c>
      <c r="O53" s="2"/>
    </row>
    <row r="54" spans="1:15" s="96" customFormat="1" ht="12.75">
      <c r="A54" s="110" t="str">
        <f>IF(NamePlateHP="",Option7,IF(O3UPHP&lt;0.0001,"N/A - Clear Name Plate HP",Option7))</f>
        <v>Daily Control (9 am - 11 pm)</v>
      </c>
      <c r="B54" s="89">
        <f>IF(NamePlateHP="",O7UP,IF(O7UPHP&lt;0.0001,0,O7UPHP))</f>
        <v>0.0647</v>
      </c>
      <c r="C54" s="90" t="str">
        <f t="shared" si="3"/>
        <v>/kWh</v>
      </c>
      <c r="D54" s="91" t="str">
        <f>TEXT($J$33/'Look-up Tables'!$D$5,"0.00")&amp;" "&amp;'Look-up Tables'!$C$5</f>
        <v>55.37 KWH</v>
      </c>
      <c r="E54" s="92">
        <f>$J$33/VLOOKUP($A$22,'Look-up Tables'!$B$2:$H$6,3,FALSE)*$C$9*B54</f>
        <v>2371.4560451977395</v>
      </c>
      <c r="F54" s="93">
        <f t="shared" si="4"/>
        <v>75</v>
      </c>
      <c r="G54" s="43">
        <f>+ROUND(((Head*GPM/3960/0.75*(0.82/$C$14))+1.5*Towers),0)</f>
        <v>74</v>
      </c>
      <c r="H54" s="92">
        <f>(VLOOKUP($A$22,'Look-up Tables'!$B$2:$H$6,4,FALSE)*G54*$D$33/1000)+(VLOOKUP($A$22,'Look-up Tables'!$B$2:$H$6,5,FALSE)*$D$33/1000*$D$22)+($J$33*$D$33/VLOOKUP($A$22,'Look-up Tables'!$B$2:$H$6,7,FALSE)*$C$25)</f>
        <v>392.48656000000005</v>
      </c>
      <c r="I54" s="94">
        <f>Elkhorn!D142</f>
        <v>1443</v>
      </c>
      <c r="J54" s="94">
        <f t="shared" si="7"/>
        <v>4206.94260519774</v>
      </c>
      <c r="K54" s="173">
        <f t="shared" si="0"/>
        <v>36653.107344632765</v>
      </c>
      <c r="L54" s="174" t="s">
        <v>126</v>
      </c>
      <c r="O54" s="2"/>
    </row>
    <row r="55" spans="1:11" s="96" customFormat="1" ht="12.75">
      <c r="A55" s="100"/>
      <c r="B55" s="101"/>
      <c r="C55" s="102"/>
      <c r="D55" s="103"/>
      <c r="E55" s="95"/>
      <c r="F55" s="104"/>
      <c r="G55" s="105"/>
      <c r="H55" s="95"/>
      <c r="I55" s="95"/>
      <c r="J55" s="95"/>
      <c r="K55" s="95"/>
    </row>
    <row r="56" spans="1:13" ht="12.75">
      <c r="A56" s="13" t="s">
        <v>131</v>
      </c>
      <c r="B56" s="1"/>
      <c r="C56" s="51"/>
      <c r="D56" s="8"/>
      <c r="E56" s="8"/>
      <c r="F56" s="45"/>
      <c r="G56" s="8"/>
      <c r="H56" s="8"/>
      <c r="I56" s="3"/>
      <c r="J56" s="3"/>
      <c r="K56" s="3"/>
      <c r="L56" s="3"/>
      <c r="M56" s="3"/>
    </row>
    <row r="57" spans="1:13" ht="12.75">
      <c r="A57" s="11" t="s">
        <v>89</v>
      </c>
      <c r="B57" s="1"/>
      <c r="C57" s="51"/>
      <c r="D57" s="8"/>
      <c r="E57" s="8"/>
      <c r="F57" s="8"/>
      <c r="G57" s="8"/>
      <c r="H57" s="8"/>
      <c r="I57" s="3"/>
      <c r="J57" s="3"/>
      <c r="K57" s="3"/>
      <c r="L57" s="3"/>
      <c r="M57" s="3"/>
    </row>
    <row r="58" spans="1:13" ht="12.75">
      <c r="A58" s="12"/>
      <c r="B58" s="1"/>
      <c r="C58" s="51"/>
      <c r="D58" s="8"/>
      <c r="E58" s="8"/>
      <c r="F58" s="8"/>
      <c r="G58" s="8"/>
      <c r="H58" s="8"/>
      <c r="I58" s="3"/>
      <c r="J58" s="3"/>
      <c r="K58" s="3"/>
      <c r="L58" s="3"/>
      <c r="M58" s="3"/>
    </row>
    <row r="59" spans="1:13" ht="12.75">
      <c r="A59" s="50"/>
      <c r="B59" s="1"/>
      <c r="C59" s="51"/>
      <c r="D59" s="8"/>
      <c r="E59" s="8"/>
      <c r="F59" s="8"/>
      <c r="G59" s="8"/>
      <c r="H59" s="8"/>
      <c r="I59" s="3"/>
      <c r="J59" s="3"/>
      <c r="K59" s="3"/>
      <c r="L59" s="3"/>
      <c r="M59" s="3"/>
    </row>
    <row r="60" spans="1:12" ht="15.75">
      <c r="A60" s="52" t="s">
        <v>29</v>
      </c>
      <c r="B60" s="53"/>
      <c r="C60" s="53"/>
      <c r="D60" s="53"/>
      <c r="E60" s="53"/>
      <c r="F60" s="53"/>
      <c r="G60" s="54"/>
      <c r="H60" s="54"/>
      <c r="I60" s="55"/>
      <c r="J60" s="50"/>
      <c r="K60" s="50"/>
      <c r="L60" s="3"/>
    </row>
    <row r="61" spans="1:11" ht="15.75">
      <c r="A61" s="56"/>
      <c r="B61" s="57"/>
      <c r="C61" s="57"/>
      <c r="D61" s="57"/>
      <c r="E61" s="57"/>
      <c r="F61" s="57"/>
      <c r="G61" s="50"/>
      <c r="H61" s="50"/>
      <c r="I61" s="58"/>
      <c r="J61" s="59"/>
      <c r="K61" s="59"/>
    </row>
    <row r="62" spans="1:11" ht="12.75">
      <c r="A62" s="60" t="s">
        <v>5</v>
      </c>
      <c r="B62" s="13" t="s">
        <v>80</v>
      </c>
      <c r="C62" s="4"/>
      <c r="D62" s="4"/>
      <c r="E62" s="4"/>
      <c r="F62" s="4"/>
      <c r="G62" s="59"/>
      <c r="H62" s="59"/>
      <c r="I62" s="61"/>
      <c r="J62" s="59"/>
      <c r="K62" s="59"/>
    </row>
    <row r="63" spans="1:11" ht="12.75">
      <c r="A63" s="60" t="s">
        <v>27</v>
      </c>
      <c r="B63" s="4" t="s">
        <v>76</v>
      </c>
      <c r="C63" s="4"/>
      <c r="D63" s="4"/>
      <c r="E63" s="4"/>
      <c r="F63" s="4"/>
      <c r="G63" s="59"/>
      <c r="H63" s="59"/>
      <c r="I63" s="61"/>
      <c r="J63" s="59"/>
      <c r="K63" s="59"/>
    </row>
    <row r="64" spans="1:11" ht="12.75">
      <c r="A64" s="60" t="s">
        <v>28</v>
      </c>
      <c r="B64" s="13" t="s">
        <v>75</v>
      </c>
      <c r="C64" s="4"/>
      <c r="D64" s="4"/>
      <c r="E64" s="4"/>
      <c r="F64" s="4"/>
      <c r="G64" s="59"/>
      <c r="H64" s="59"/>
      <c r="I64" s="61"/>
      <c r="J64" s="59"/>
      <c r="K64" s="59"/>
    </row>
    <row r="65" spans="1:11" ht="12.75">
      <c r="A65" s="60" t="s">
        <v>14</v>
      </c>
      <c r="B65" s="13" t="s">
        <v>82</v>
      </c>
      <c r="D65" s="4"/>
      <c r="E65" s="4"/>
      <c r="F65" s="4"/>
      <c r="G65" s="59"/>
      <c r="H65" s="59"/>
      <c r="I65" s="61"/>
      <c r="J65" s="59"/>
      <c r="K65" s="59"/>
    </row>
    <row r="66" spans="1:9" ht="12.75">
      <c r="A66" s="62" t="s">
        <v>26</v>
      </c>
      <c r="B66" s="63" t="s">
        <v>81</v>
      </c>
      <c r="C66" s="5"/>
      <c r="D66" s="5"/>
      <c r="E66" s="5"/>
      <c r="F66" s="5"/>
      <c r="G66" s="64"/>
      <c r="H66" s="64"/>
      <c r="I66" s="65"/>
    </row>
    <row r="68" spans="6:7" ht="12.75">
      <c r="F68" s="3"/>
      <c r="G68" s="3"/>
    </row>
  </sheetData>
  <sheetProtection sheet="1"/>
  <mergeCells count="6">
    <mergeCell ref="A1:J1"/>
    <mergeCell ref="B35:C35"/>
    <mergeCell ref="E18:F18"/>
    <mergeCell ref="E19:F19"/>
    <mergeCell ref="E17:F17"/>
    <mergeCell ref="H21:H27"/>
  </mergeCells>
  <conditionalFormatting sqref="C13">
    <cfRule type="expression" priority="1" dxfId="1" stopIfTrue="1">
      <formula>A41="N/A - Clear Name Plate HP"</formula>
    </cfRule>
    <cfRule type="expression" priority="2" dxfId="0" stopIfTrue="1">
      <formula>A41&lt;&gt;"N/A - Clear Name Plate HP"</formula>
    </cfRule>
  </conditionalFormatting>
  <conditionalFormatting sqref="F42:F54 A41:E54 H41:J54">
    <cfRule type="expression" priority="3" dxfId="1" stopIfTrue="1">
      <formula>$A$41="N/A - Clear Name Plate HP"</formula>
    </cfRule>
    <cfRule type="expression" priority="4" dxfId="4" stopIfTrue="1">
      <formula>$A$41&lt;&gt;"N/A - Clear Name Plate HP"</formula>
    </cfRule>
  </conditionalFormatting>
  <conditionalFormatting sqref="F41">
    <cfRule type="expression" priority="5" dxfId="1" stopIfTrue="1">
      <formula>$A$41="N/A - Clear Name Plate HP"</formula>
    </cfRule>
    <cfRule type="expression" priority="6" dxfId="0" stopIfTrue="1">
      <formula>$A$41&lt;&gt;"N/A - Clear Name Plate HP"</formula>
    </cfRule>
  </conditionalFormatting>
  <conditionalFormatting sqref="C14">
    <cfRule type="expression" priority="7" dxfId="1" stopIfTrue="1">
      <formula>A43="N/A - Clear Name Plate HP"</formula>
    </cfRule>
    <cfRule type="expression" priority="8" dxfId="0" stopIfTrue="1">
      <formula>A43&lt;&gt;"N/A - Clear Name Plate HP"</formula>
    </cfRule>
  </conditionalFormatting>
  <dataValidations count="1">
    <dataValidation allowBlank="1" showErrorMessage="1" promptTitle="Lift OR BHP" prompt="Enter Lift OR select the BHP from dropdown list. &#10;To enable BHP dropdown, clear Lift (ft) entry." sqref="E10"/>
  </dataValidations>
  <printOptions horizontalCentered="1"/>
  <pageMargins left="0.5" right="0.5" top="0.5" bottom="0.5" header="0.5" footer="0.5"/>
  <pageSetup fitToHeight="1" fitToWidth="1" horizontalDpi="600" verticalDpi="600" orientation="portrait" scale="8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0"/>
  <sheetViews>
    <sheetView showGridLines="0" zoomScale="84" zoomScaleNormal="84" zoomScalePageLayoutView="0" workbookViewId="0" topLeftCell="A34">
      <selection activeCell="D55" sqref="D55"/>
    </sheetView>
  </sheetViews>
  <sheetFormatPr defaultColWidth="9.140625" defaultRowHeight="12.75"/>
  <cols>
    <col min="1" max="1" width="25.00390625" style="66" bestFit="1" customWidth="1"/>
    <col min="2" max="3" width="9.140625" style="2" customWidth="1"/>
    <col min="4" max="4" width="11.00390625" style="2" customWidth="1"/>
    <col min="5" max="5" width="10.00390625" style="2" customWidth="1"/>
    <col min="6" max="6" width="11.7109375" style="2" customWidth="1"/>
    <col min="7" max="7" width="11.8515625" style="2" customWidth="1"/>
    <col min="8" max="8" width="13.57421875" style="2" customWidth="1"/>
    <col min="9" max="9" width="7.28125" style="2" customWidth="1"/>
    <col min="10" max="16384" width="9.140625" style="2" customWidth="1"/>
  </cols>
  <sheetData>
    <row r="1" spans="1:8" ht="24" customHeight="1">
      <c r="A1" s="66" t="s">
        <v>67</v>
      </c>
      <c r="B1" s="67" t="s">
        <v>59</v>
      </c>
      <c r="C1" s="30" t="s">
        <v>60</v>
      </c>
      <c r="D1" s="30" t="s">
        <v>62</v>
      </c>
      <c r="E1" s="68" t="s">
        <v>68</v>
      </c>
      <c r="F1" s="69" t="s">
        <v>61</v>
      </c>
      <c r="G1" s="68" t="s">
        <v>69</v>
      </c>
      <c r="H1" s="70" t="s">
        <v>70</v>
      </c>
    </row>
    <row r="2" spans="2:8" ht="12.75">
      <c r="B2" s="71" t="s">
        <v>30</v>
      </c>
      <c r="C2" s="72" t="s">
        <v>56</v>
      </c>
      <c r="D2" s="73">
        <f>IF(Inputs!C14="",12.5,Inputs!C14/0.82*12.5)</f>
        <v>12.5</v>
      </c>
      <c r="E2" s="74">
        <v>3.75</v>
      </c>
      <c r="F2" s="75">
        <v>20</v>
      </c>
      <c r="G2" s="73">
        <v>900</v>
      </c>
      <c r="H2" s="76">
        <v>4000</v>
      </c>
    </row>
    <row r="3" spans="2:8" ht="12.75">
      <c r="B3" s="71" t="s">
        <v>121</v>
      </c>
      <c r="C3" s="72" t="s">
        <v>57</v>
      </c>
      <c r="D3" s="73">
        <f>IF(Inputs!C14="",61.7,Inputs!C14/0.82*61.7)</f>
        <v>61.7</v>
      </c>
      <c r="E3" s="74">
        <v>2.4</v>
      </c>
      <c r="F3" s="75">
        <v>40</v>
      </c>
      <c r="G3" s="73">
        <v>800</v>
      </c>
      <c r="H3" s="76">
        <v>4000</v>
      </c>
    </row>
    <row r="4" spans="1:8" ht="12.75">
      <c r="A4" s="83" t="s">
        <v>79</v>
      </c>
      <c r="B4" s="71" t="s">
        <v>31</v>
      </c>
      <c r="C4" s="72" t="s">
        <v>56</v>
      </c>
      <c r="D4" s="73">
        <f>IF(Inputs!C14="",6.89,Inputs!C14/0.82*6.89)</f>
        <v>6.89</v>
      </c>
      <c r="E4" s="74">
        <v>2.4</v>
      </c>
      <c r="F4" s="75">
        <v>40</v>
      </c>
      <c r="G4" s="73">
        <v>800</v>
      </c>
      <c r="H4" s="76">
        <v>4000</v>
      </c>
    </row>
    <row r="5" spans="1:8" ht="12.75">
      <c r="A5" s="83" t="s">
        <v>15</v>
      </c>
      <c r="B5" s="71" t="s">
        <v>86</v>
      </c>
      <c r="C5" s="72" t="s">
        <v>78</v>
      </c>
      <c r="D5" s="73">
        <f>IF(Inputs!C14="",0.885,Inputs!C14/0.82*0.885)</f>
        <v>0.885</v>
      </c>
      <c r="E5" s="74">
        <v>0.62</v>
      </c>
      <c r="F5" s="75">
        <v>20</v>
      </c>
      <c r="G5" s="73"/>
      <c r="H5" s="76">
        <v>4000</v>
      </c>
    </row>
    <row r="6" spans="2:8" ht="12.75">
      <c r="B6" s="71" t="s">
        <v>33</v>
      </c>
      <c r="C6" s="72" t="s">
        <v>56</v>
      </c>
      <c r="D6" s="73">
        <f>IF(Inputs!C14="",8.66,Inputs!C14/0.82*8.66)</f>
        <v>8.66</v>
      </c>
      <c r="E6" s="74">
        <v>3.15</v>
      </c>
      <c r="F6" s="75">
        <v>40</v>
      </c>
      <c r="G6" s="73">
        <v>800</v>
      </c>
      <c r="H6" s="76">
        <v>4000</v>
      </c>
    </row>
    <row r="7" ht="12.75">
      <c r="C7" s="3"/>
    </row>
    <row r="8" spans="1:4" ht="12.75">
      <c r="A8" s="66" t="s">
        <v>10</v>
      </c>
      <c r="B8" s="17" t="s">
        <v>7</v>
      </c>
      <c r="C8" s="77" t="s">
        <v>11</v>
      </c>
      <c r="D8" s="7" t="s">
        <v>12</v>
      </c>
    </row>
    <row r="9" spans="1:4" ht="12.75">
      <c r="A9" s="78">
        <v>0</v>
      </c>
      <c r="B9" s="58">
        <v>500</v>
      </c>
      <c r="C9" s="72">
        <v>1161</v>
      </c>
      <c r="D9" s="6">
        <v>386</v>
      </c>
    </row>
    <row r="10" spans="1:4" ht="12.75">
      <c r="A10" s="78">
        <v>501</v>
      </c>
      <c r="B10" s="58">
        <v>850</v>
      </c>
      <c r="C10" s="72">
        <v>1347</v>
      </c>
      <c r="D10" s="6">
        <v>497</v>
      </c>
    </row>
    <row r="11" spans="1:4" ht="12.75">
      <c r="A11" s="78">
        <v>851</v>
      </c>
      <c r="B11" s="58">
        <v>1200</v>
      </c>
      <c r="C11" s="72">
        <v>1401</v>
      </c>
      <c r="D11" s="6">
        <v>499</v>
      </c>
    </row>
    <row r="12" spans="1:4" ht="12.75">
      <c r="A12" s="78">
        <v>1201</v>
      </c>
      <c r="B12" s="58">
        <v>2100</v>
      </c>
      <c r="C12" s="72">
        <v>1769</v>
      </c>
      <c r="D12" s="6">
        <v>824</v>
      </c>
    </row>
    <row r="13" spans="1:4" ht="12.75">
      <c r="A13" s="78">
        <v>2101</v>
      </c>
      <c r="B13" s="58">
        <v>2100</v>
      </c>
      <c r="C13" s="72">
        <v>0</v>
      </c>
      <c r="D13" s="6">
        <v>0</v>
      </c>
    </row>
    <row r="15" spans="1:3" ht="12.75">
      <c r="A15" s="66" t="s">
        <v>13</v>
      </c>
      <c r="B15" s="17" t="s">
        <v>14</v>
      </c>
      <c r="C15" s="7" t="s">
        <v>15</v>
      </c>
    </row>
    <row r="16" spans="1:3" ht="12.75">
      <c r="A16" s="78">
        <v>0</v>
      </c>
      <c r="B16" s="58">
        <v>20</v>
      </c>
      <c r="C16" s="76">
        <v>1415</v>
      </c>
    </row>
    <row r="17" spans="1:3" ht="12.75">
      <c r="A17" s="78">
        <v>21</v>
      </c>
      <c r="B17" s="58">
        <v>40</v>
      </c>
      <c r="C17" s="76">
        <v>1715</v>
      </c>
    </row>
    <row r="18" spans="1:3" ht="12.75">
      <c r="A18" s="78">
        <v>41</v>
      </c>
      <c r="B18" s="58">
        <v>60</v>
      </c>
      <c r="C18" s="76">
        <v>1895</v>
      </c>
    </row>
    <row r="19" spans="1:3" ht="12.75">
      <c r="A19" s="78">
        <v>61</v>
      </c>
      <c r="B19" s="58">
        <v>80</v>
      </c>
      <c r="C19" s="76">
        <v>2085</v>
      </c>
    </row>
    <row r="20" spans="1:3" ht="12.75">
      <c r="A20" s="78">
        <v>81</v>
      </c>
      <c r="B20" s="58">
        <v>100</v>
      </c>
      <c r="C20" s="76">
        <v>2195</v>
      </c>
    </row>
    <row r="21" spans="1:3" ht="12.75">
      <c r="A21" s="78">
        <v>101</v>
      </c>
      <c r="B21" s="58">
        <v>125</v>
      </c>
      <c r="C21" s="76">
        <v>2411</v>
      </c>
    </row>
    <row r="22" spans="1:3" ht="12.75">
      <c r="A22" s="78">
        <v>126</v>
      </c>
      <c r="B22" s="58">
        <v>150</v>
      </c>
      <c r="C22" s="76">
        <v>2861</v>
      </c>
    </row>
    <row r="23" spans="1:3" ht="12.75">
      <c r="A23" s="78">
        <v>151</v>
      </c>
      <c r="B23" s="58">
        <v>200</v>
      </c>
      <c r="C23" s="76">
        <v>3510</v>
      </c>
    </row>
    <row r="25" spans="1:5" ht="12.75">
      <c r="A25" s="66" t="s">
        <v>16</v>
      </c>
      <c r="B25" s="17" t="s">
        <v>17</v>
      </c>
      <c r="C25" s="7" t="s">
        <v>15</v>
      </c>
      <c r="D25" s="3"/>
      <c r="E25" s="3" t="s">
        <v>63</v>
      </c>
    </row>
    <row r="26" spans="1:5" ht="12.75">
      <c r="A26" s="78">
        <v>0</v>
      </c>
      <c r="B26" s="58">
        <v>600</v>
      </c>
      <c r="C26" s="76">
        <v>1433</v>
      </c>
      <c r="D26" s="3"/>
      <c r="E26" s="79">
        <v>250</v>
      </c>
    </row>
    <row r="27" spans="1:5" ht="12.75">
      <c r="A27" s="78">
        <v>601</v>
      </c>
      <c r="B27" s="58">
        <v>1050</v>
      </c>
      <c r="C27" s="76">
        <v>1433</v>
      </c>
      <c r="D27" s="3"/>
      <c r="E27" s="3"/>
    </row>
    <row r="28" spans="1:5" ht="12.75">
      <c r="A28" s="78">
        <v>1051</v>
      </c>
      <c r="B28" s="58">
        <v>2100</v>
      </c>
      <c r="C28" s="76">
        <v>1768</v>
      </c>
      <c r="D28" s="3"/>
      <c r="E28" s="3"/>
    </row>
    <row r="30" spans="1:5" ht="12.75">
      <c r="A30" s="66" t="s">
        <v>9</v>
      </c>
      <c r="B30" s="79">
        <v>2375</v>
      </c>
      <c r="C30" s="3"/>
      <c r="D30" s="3"/>
      <c r="E30" s="3"/>
    </row>
    <row r="31" spans="2:5" ht="12.75">
      <c r="B31" s="3"/>
      <c r="C31" s="3"/>
      <c r="D31" s="3"/>
      <c r="E31" s="3"/>
    </row>
    <row r="32" spans="1:5" ht="12.75">
      <c r="A32" s="66" t="s">
        <v>18</v>
      </c>
      <c r="B32" s="17" t="s">
        <v>14</v>
      </c>
      <c r="C32" s="7" t="s">
        <v>15</v>
      </c>
      <c r="D32" s="3"/>
      <c r="E32" s="3"/>
    </row>
    <row r="33" spans="1:5" ht="12.75">
      <c r="A33" s="78">
        <v>0</v>
      </c>
      <c r="B33" s="58">
        <v>25</v>
      </c>
      <c r="C33" s="76">
        <v>830</v>
      </c>
      <c r="D33" s="3"/>
      <c r="E33" s="3"/>
    </row>
    <row r="34" spans="1:13" ht="12.75">
      <c r="A34" s="78">
        <v>26</v>
      </c>
      <c r="B34" s="58">
        <v>30</v>
      </c>
      <c r="C34" s="76">
        <v>933</v>
      </c>
      <c r="D34" s="3"/>
      <c r="E34" s="3"/>
      <c r="I34" s="11"/>
      <c r="M34" s="57"/>
    </row>
    <row r="35" spans="1:9" ht="12.75">
      <c r="A35" s="78">
        <v>31</v>
      </c>
      <c r="B35" s="58">
        <v>40</v>
      </c>
      <c r="C35" s="76">
        <v>933</v>
      </c>
      <c r="D35" s="3"/>
      <c r="E35" s="3"/>
      <c r="I35" s="11"/>
    </row>
    <row r="36" spans="1:9" ht="12.75">
      <c r="A36" s="78">
        <v>41</v>
      </c>
      <c r="B36" s="58">
        <v>50</v>
      </c>
      <c r="C36" s="76">
        <v>933</v>
      </c>
      <c r="D36" s="3"/>
      <c r="E36" s="3"/>
      <c r="I36" s="11"/>
    </row>
    <row r="37" spans="1:9" ht="12.75">
      <c r="A37" s="78">
        <v>51</v>
      </c>
      <c r="B37" s="58">
        <v>60</v>
      </c>
      <c r="C37" s="76">
        <v>1825</v>
      </c>
      <c r="D37" s="3"/>
      <c r="E37" s="3"/>
      <c r="I37" s="11"/>
    </row>
    <row r="38" spans="1:9" ht="12.75">
      <c r="A38" s="78">
        <v>61</v>
      </c>
      <c r="B38" s="58">
        <v>75</v>
      </c>
      <c r="C38" s="76">
        <v>1825</v>
      </c>
      <c r="D38" s="3"/>
      <c r="E38" s="3"/>
      <c r="I38" s="11"/>
    </row>
    <row r="39" spans="1:5" ht="12.75">
      <c r="A39" s="78">
        <v>76</v>
      </c>
      <c r="B39" s="58">
        <v>100</v>
      </c>
      <c r="C39" s="76">
        <v>1825</v>
      </c>
      <c r="D39" s="3"/>
      <c r="E39" s="3"/>
    </row>
    <row r="40" spans="1:5" ht="12.75">
      <c r="A40" s="78">
        <v>101</v>
      </c>
      <c r="B40" s="58">
        <v>125</v>
      </c>
      <c r="C40" s="76">
        <v>3705</v>
      </c>
      <c r="D40" s="3"/>
      <c r="E40" s="3"/>
    </row>
    <row r="41" spans="1:5" ht="12.75">
      <c r="A41" s="78">
        <v>126</v>
      </c>
      <c r="B41" s="58">
        <v>150</v>
      </c>
      <c r="C41" s="76">
        <v>3705</v>
      </c>
      <c r="D41" s="3"/>
      <c r="E41" s="3"/>
    </row>
    <row r="42" spans="2:5" ht="12.75">
      <c r="B42" s="3"/>
      <c r="C42" s="3"/>
      <c r="D42" s="3"/>
      <c r="E42" s="3"/>
    </row>
    <row r="43" spans="1:5" ht="12.75">
      <c r="A43" s="66" t="s">
        <v>19</v>
      </c>
      <c r="B43" s="17" t="s">
        <v>14</v>
      </c>
      <c r="C43" s="7" t="s">
        <v>15</v>
      </c>
      <c r="D43" s="3"/>
      <c r="E43" s="3" t="s">
        <v>20</v>
      </c>
    </row>
    <row r="44" spans="1:5" ht="12.75">
      <c r="A44" s="78">
        <v>0</v>
      </c>
      <c r="B44" s="58">
        <v>25</v>
      </c>
      <c r="C44" s="76">
        <v>1324</v>
      </c>
      <c r="D44" s="3"/>
      <c r="E44" s="79">
        <v>4854</v>
      </c>
    </row>
    <row r="45" spans="1:5" ht="12.75">
      <c r="A45" s="78">
        <v>26</v>
      </c>
      <c r="B45" s="58">
        <v>30</v>
      </c>
      <c r="C45" s="76">
        <v>1469</v>
      </c>
      <c r="D45" s="3"/>
      <c r="E45" s="3"/>
    </row>
    <row r="46" spans="1:5" ht="12.75">
      <c r="A46" s="78">
        <v>31</v>
      </c>
      <c r="B46" s="58">
        <v>40</v>
      </c>
      <c r="C46" s="76">
        <v>1449</v>
      </c>
      <c r="D46" s="3"/>
      <c r="E46" s="3"/>
    </row>
    <row r="47" spans="1:5" ht="12.75">
      <c r="A47" s="78">
        <v>41</v>
      </c>
      <c r="B47" s="58">
        <v>50</v>
      </c>
      <c r="C47" s="76">
        <v>1510</v>
      </c>
      <c r="D47" s="3"/>
      <c r="E47" s="3"/>
    </row>
    <row r="48" spans="1:5" ht="12.75">
      <c r="A48" s="78">
        <v>51</v>
      </c>
      <c r="B48" s="58">
        <v>60</v>
      </c>
      <c r="C48" s="76">
        <v>1964</v>
      </c>
      <c r="D48" s="3"/>
      <c r="E48" s="3"/>
    </row>
    <row r="49" spans="1:5" ht="12.75">
      <c r="A49" s="78">
        <v>61</v>
      </c>
      <c r="B49" s="58">
        <v>75</v>
      </c>
      <c r="C49" s="76">
        <v>1990</v>
      </c>
      <c r="D49" s="3"/>
      <c r="E49" s="3"/>
    </row>
    <row r="50" spans="1:5" ht="12.75">
      <c r="A50" s="78">
        <v>76</v>
      </c>
      <c r="B50" s="58">
        <v>100</v>
      </c>
      <c r="C50" s="76">
        <v>2115</v>
      </c>
      <c r="D50" s="3"/>
      <c r="E50" s="3"/>
    </row>
    <row r="51" spans="1:5" ht="12.75">
      <c r="A51" s="78">
        <v>101</v>
      </c>
      <c r="B51" s="58">
        <v>125</v>
      </c>
      <c r="C51" s="76">
        <v>2230</v>
      </c>
      <c r="D51" s="3"/>
      <c r="E51" s="3"/>
    </row>
    <row r="52" spans="1:5" ht="12.75">
      <c r="A52" s="78">
        <v>126</v>
      </c>
      <c r="B52" s="58">
        <v>150</v>
      </c>
      <c r="C52" s="76">
        <v>2270</v>
      </c>
      <c r="D52" s="3"/>
      <c r="E52" s="3"/>
    </row>
    <row r="53" spans="2:5" ht="12.75">
      <c r="B53" s="3"/>
      <c r="C53" s="3"/>
      <c r="D53" s="3"/>
      <c r="E53" s="3"/>
    </row>
    <row r="54" spans="1:8" ht="12.75">
      <c r="A54" s="66" t="s">
        <v>21</v>
      </c>
      <c r="B54" s="17" t="s">
        <v>14</v>
      </c>
      <c r="C54" s="7" t="s">
        <v>15</v>
      </c>
      <c r="D54" s="3"/>
      <c r="E54" s="3" t="s">
        <v>35</v>
      </c>
      <c r="G54" s="57"/>
      <c r="H54" s="57"/>
    </row>
    <row r="55" spans="1:8" ht="12.75">
      <c r="A55" s="78">
        <v>0</v>
      </c>
      <c r="B55" s="58">
        <v>80</v>
      </c>
      <c r="C55" s="76">
        <v>7707</v>
      </c>
      <c r="D55" s="3"/>
      <c r="E55" s="79">
        <v>2100</v>
      </c>
      <c r="G55" s="57"/>
      <c r="H55" s="80"/>
    </row>
    <row r="56" spans="1:14" ht="12.75">
      <c r="A56" s="78">
        <f>+B55+1</f>
        <v>81</v>
      </c>
      <c r="B56" s="58">
        <v>105</v>
      </c>
      <c r="C56" s="76">
        <v>9175</v>
      </c>
      <c r="D56" s="3"/>
      <c r="E56" s="3"/>
      <c r="G56" s="57"/>
      <c r="H56" s="57"/>
      <c r="I56" s="57"/>
      <c r="J56" s="57"/>
      <c r="K56" s="57"/>
      <c r="L56" s="57"/>
      <c r="M56" s="57"/>
      <c r="N56" s="57"/>
    </row>
    <row r="57" spans="1:14" ht="12.75">
      <c r="A57" s="78">
        <f aca="true" t="shared" si="0" ref="A57:A62">+B56+1</f>
        <v>106</v>
      </c>
      <c r="B57" s="58">
        <v>120</v>
      </c>
      <c r="C57" s="76">
        <v>10195</v>
      </c>
      <c r="D57" s="3"/>
      <c r="E57" s="81" t="s">
        <v>34</v>
      </c>
      <c r="H57" s="57"/>
      <c r="I57" s="57"/>
      <c r="J57" s="57"/>
      <c r="K57" s="57"/>
      <c r="L57" s="57"/>
      <c r="M57" s="57"/>
      <c r="N57" s="57"/>
    </row>
    <row r="58" spans="1:14" ht="12.75">
      <c r="A58" s="78">
        <f t="shared" si="0"/>
        <v>121</v>
      </c>
      <c r="B58" s="58">
        <v>150</v>
      </c>
      <c r="C58" s="76">
        <v>11534</v>
      </c>
      <c r="D58" s="3"/>
      <c r="E58" s="79">
        <v>525</v>
      </c>
      <c r="H58" s="57"/>
      <c r="I58" s="57"/>
      <c r="J58" s="57"/>
      <c r="K58" s="57"/>
      <c r="L58" s="57"/>
      <c r="M58" s="57"/>
      <c r="N58" s="57"/>
    </row>
    <row r="59" spans="1:14" ht="12.75">
      <c r="A59" s="78">
        <f t="shared" si="0"/>
        <v>151</v>
      </c>
      <c r="B59" s="58">
        <v>180</v>
      </c>
      <c r="C59" s="76">
        <v>12811</v>
      </c>
      <c r="D59" s="3"/>
      <c r="E59" s="3"/>
      <c r="H59" s="57"/>
      <c r="I59" s="57"/>
      <c r="J59" s="57"/>
      <c r="K59" s="57"/>
      <c r="L59" s="57"/>
      <c r="M59" s="57"/>
      <c r="N59" s="57"/>
    </row>
    <row r="60" spans="1:14" ht="12.75">
      <c r="A60" s="78">
        <f t="shared" si="0"/>
        <v>181</v>
      </c>
      <c r="B60" s="58">
        <v>200</v>
      </c>
      <c r="C60" s="76">
        <v>15396</v>
      </c>
      <c r="D60" s="3"/>
      <c r="E60" s="3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12.75">
      <c r="A61" s="78">
        <f t="shared" si="0"/>
        <v>201</v>
      </c>
      <c r="B61" s="58">
        <v>250</v>
      </c>
      <c r="C61" s="76">
        <v>17379</v>
      </c>
      <c r="D61" s="3"/>
      <c r="E61" s="3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2.75">
      <c r="A62" s="78">
        <f t="shared" si="0"/>
        <v>251</v>
      </c>
      <c r="B62" s="58">
        <v>320</v>
      </c>
      <c r="C62" s="76">
        <v>22236</v>
      </c>
      <c r="D62" s="3"/>
      <c r="E62" s="3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2.75">
      <c r="B63" s="3"/>
      <c r="C63" s="3"/>
      <c r="D63" s="3"/>
      <c r="E63" s="3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2.75">
      <c r="A64" s="66" t="s">
        <v>22</v>
      </c>
      <c r="B64" s="17" t="s">
        <v>14</v>
      </c>
      <c r="C64" s="7" t="s">
        <v>15</v>
      </c>
      <c r="D64" s="3"/>
      <c r="E64" s="3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2.75">
      <c r="A65" s="78">
        <v>0</v>
      </c>
      <c r="B65" s="58">
        <v>70</v>
      </c>
      <c r="C65" s="76">
        <v>4599</v>
      </c>
      <c r="D65" s="3"/>
      <c r="E65" s="3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2.75">
      <c r="A66" s="78">
        <v>71</v>
      </c>
      <c r="B66" s="58">
        <v>95</v>
      </c>
      <c r="C66" s="76">
        <v>5351</v>
      </c>
      <c r="D66" s="3"/>
      <c r="E66" s="3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2.75">
      <c r="A67" s="78">
        <v>96</v>
      </c>
      <c r="B67" s="58">
        <v>125</v>
      </c>
      <c r="C67" s="76">
        <v>5948</v>
      </c>
      <c r="D67" s="3"/>
      <c r="E67" s="3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2.75">
      <c r="A68" s="78">
        <v>126</v>
      </c>
      <c r="B68" s="58">
        <v>140</v>
      </c>
      <c r="C68" s="76">
        <v>9168</v>
      </c>
      <c r="D68" s="3"/>
      <c r="E68" s="3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2.75">
      <c r="A69" s="78">
        <v>141</v>
      </c>
      <c r="B69" s="58">
        <v>190</v>
      </c>
      <c r="C69" s="76">
        <v>10702</v>
      </c>
      <c r="D69" s="3"/>
      <c r="E69" s="3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2.75">
      <c r="A70" s="78">
        <v>191</v>
      </c>
      <c r="B70" s="58">
        <v>250</v>
      </c>
      <c r="C70" s="76">
        <v>11897</v>
      </c>
      <c r="D70" s="3"/>
      <c r="E70" s="3"/>
      <c r="F70" s="57"/>
      <c r="G70" s="57"/>
      <c r="H70" s="57"/>
      <c r="I70" s="57"/>
      <c r="J70" s="57"/>
      <c r="K70" s="57"/>
      <c r="L70" s="57"/>
      <c r="M70" s="57"/>
      <c r="N70" s="57"/>
    </row>
    <row r="71" spans="2:13" ht="12.75">
      <c r="B71" s="3"/>
      <c r="C71" s="3"/>
      <c r="D71" s="3"/>
      <c r="E71" s="3"/>
      <c r="F71" s="57"/>
      <c r="G71" s="57"/>
      <c r="H71" s="57"/>
      <c r="I71" s="57"/>
      <c r="J71" s="57"/>
      <c r="K71" s="57"/>
      <c r="L71" s="57"/>
      <c r="M71" s="57"/>
    </row>
    <row r="72" spans="1:13" ht="12.75">
      <c r="A72" s="66" t="s">
        <v>23</v>
      </c>
      <c r="B72" s="17" t="s">
        <v>14</v>
      </c>
      <c r="C72" s="7" t="s">
        <v>15</v>
      </c>
      <c r="D72" s="3"/>
      <c r="E72" s="3"/>
      <c r="F72" s="57"/>
      <c r="G72" s="57"/>
      <c r="H72" s="57"/>
      <c r="I72" s="57"/>
      <c r="J72" s="57"/>
      <c r="K72" s="57"/>
      <c r="L72" s="57"/>
      <c r="M72" s="57"/>
    </row>
    <row r="73" spans="1:13" ht="12.75">
      <c r="A73" s="78">
        <v>0</v>
      </c>
      <c r="B73" s="58">
        <v>70</v>
      </c>
      <c r="C73" s="76">
        <v>4712</v>
      </c>
      <c r="D73" s="3"/>
      <c r="E73" s="3"/>
      <c r="F73" s="57"/>
      <c r="G73" s="57"/>
      <c r="H73" s="57"/>
      <c r="I73" s="57"/>
      <c r="J73" s="57"/>
      <c r="K73" s="57"/>
      <c r="L73" s="57"/>
      <c r="M73" s="57"/>
    </row>
    <row r="74" spans="1:13" ht="12.75">
      <c r="A74" s="78">
        <v>71</v>
      </c>
      <c r="B74" s="58">
        <v>95</v>
      </c>
      <c r="C74" s="76">
        <v>5531</v>
      </c>
      <c r="D74" s="3"/>
      <c r="E74" s="3"/>
      <c r="F74" s="57"/>
      <c r="G74" s="57"/>
      <c r="H74" s="57"/>
      <c r="I74" s="57"/>
      <c r="J74" s="57"/>
      <c r="K74" s="57"/>
      <c r="L74" s="57"/>
      <c r="M74" s="57"/>
    </row>
    <row r="75" spans="1:5" ht="12.75">
      <c r="A75" s="78">
        <v>96</v>
      </c>
      <c r="B75" s="58">
        <v>125</v>
      </c>
      <c r="C75" s="76">
        <v>6123</v>
      </c>
      <c r="D75" s="3"/>
      <c r="E75" s="3"/>
    </row>
    <row r="76" spans="1:5" ht="12.75">
      <c r="A76" s="78">
        <v>126</v>
      </c>
      <c r="B76" s="58">
        <v>140</v>
      </c>
      <c r="C76" s="76">
        <v>9425</v>
      </c>
      <c r="D76" s="3"/>
      <c r="E76" s="3"/>
    </row>
    <row r="77" spans="1:5" ht="12.75">
      <c r="A77" s="78">
        <v>141</v>
      </c>
      <c r="B77" s="58">
        <v>190</v>
      </c>
      <c r="C77" s="76">
        <v>11062</v>
      </c>
      <c r="D77" s="3"/>
      <c r="E77" s="3"/>
    </row>
    <row r="78" spans="1:5" ht="12.75">
      <c r="A78" s="78">
        <v>191</v>
      </c>
      <c r="B78" s="58">
        <v>250</v>
      </c>
      <c r="C78" s="76">
        <v>12247</v>
      </c>
      <c r="D78" s="3"/>
      <c r="E78" s="3"/>
    </row>
    <row r="79" spans="2:5" ht="12.75">
      <c r="B79" s="3"/>
      <c r="C79" s="3"/>
      <c r="D79" s="3"/>
      <c r="E79" s="3"/>
    </row>
    <row r="80" spans="1:5" ht="12.75">
      <c r="A80" s="66" t="s">
        <v>24</v>
      </c>
      <c r="B80" s="17" t="s">
        <v>14</v>
      </c>
      <c r="C80" s="7" t="s">
        <v>15</v>
      </c>
      <c r="D80" s="3"/>
      <c r="E80" s="3"/>
    </row>
    <row r="81" spans="1:5" ht="12.75">
      <c r="A81" s="78">
        <v>0</v>
      </c>
      <c r="B81" s="58">
        <v>20</v>
      </c>
      <c r="C81" s="76">
        <v>1575</v>
      </c>
      <c r="D81" s="3"/>
      <c r="E81" s="3"/>
    </row>
    <row r="82" spans="1:5" ht="12.75">
      <c r="A82" s="78">
        <v>21</v>
      </c>
      <c r="B82" s="58">
        <v>25</v>
      </c>
      <c r="C82" s="76">
        <v>1757</v>
      </c>
      <c r="D82" s="3"/>
      <c r="E82" s="3"/>
    </row>
    <row r="83" spans="1:5" ht="12.75">
      <c r="A83" s="78">
        <v>26</v>
      </c>
      <c r="B83" s="58">
        <v>30</v>
      </c>
      <c r="C83" s="76">
        <v>1975</v>
      </c>
      <c r="D83" s="3"/>
      <c r="E83" s="3"/>
    </row>
    <row r="84" spans="1:5" ht="12.75">
      <c r="A84" s="78">
        <v>31</v>
      </c>
      <c r="B84" s="58">
        <v>40</v>
      </c>
      <c r="C84" s="76">
        <v>2295</v>
      </c>
      <c r="D84" s="3"/>
      <c r="E84" s="3"/>
    </row>
    <row r="85" spans="1:5" ht="12.75">
      <c r="A85" s="78">
        <v>41</v>
      </c>
      <c r="B85" s="58">
        <v>50</v>
      </c>
      <c r="C85" s="76">
        <v>2724</v>
      </c>
      <c r="D85" s="3"/>
      <c r="E85" s="3"/>
    </row>
    <row r="86" spans="1:5" ht="12.75">
      <c r="A86" s="78">
        <v>51</v>
      </c>
      <c r="B86" s="58">
        <v>60</v>
      </c>
      <c r="C86" s="76">
        <v>3145</v>
      </c>
      <c r="D86" s="3"/>
      <c r="E86" s="3"/>
    </row>
    <row r="87" spans="1:5" ht="12.75">
      <c r="A87" s="78">
        <v>61</v>
      </c>
      <c r="B87" s="58">
        <v>75</v>
      </c>
      <c r="C87" s="76">
        <v>3829</v>
      </c>
      <c r="D87" s="3"/>
      <c r="E87" s="3"/>
    </row>
    <row r="88" spans="1:5" ht="12.75">
      <c r="A88" s="78">
        <v>76</v>
      </c>
      <c r="B88" s="58">
        <v>100</v>
      </c>
      <c r="C88" s="76">
        <v>4837</v>
      </c>
      <c r="D88" s="3"/>
      <c r="E88" s="3"/>
    </row>
    <row r="89" spans="1:5" ht="12.75">
      <c r="A89" s="78">
        <v>101</v>
      </c>
      <c r="B89" s="58">
        <v>125</v>
      </c>
      <c r="C89" s="76">
        <v>5843</v>
      </c>
      <c r="D89" s="3"/>
      <c r="E89" s="3"/>
    </row>
    <row r="90" spans="1:5" ht="12.75">
      <c r="A90" s="78">
        <v>126</v>
      </c>
      <c r="B90" s="58">
        <v>150</v>
      </c>
      <c r="C90" s="76">
        <v>7380</v>
      </c>
      <c r="D90" s="3"/>
      <c r="E90" s="3"/>
    </row>
    <row r="91" spans="1:5" ht="12.75">
      <c r="A91" s="78">
        <v>151</v>
      </c>
      <c r="B91" s="58">
        <v>200</v>
      </c>
      <c r="C91" s="76">
        <v>10463</v>
      </c>
      <c r="D91" s="3"/>
      <c r="E91" s="3"/>
    </row>
    <row r="92" spans="2:5" ht="12.75">
      <c r="B92" s="3"/>
      <c r="C92" s="3"/>
      <c r="D92" s="3"/>
      <c r="E92" s="3"/>
    </row>
    <row r="93" spans="1:5" ht="12.75">
      <c r="A93" s="66" t="s">
        <v>25</v>
      </c>
      <c r="B93" s="17" t="s">
        <v>14</v>
      </c>
      <c r="C93" s="7" t="s">
        <v>15</v>
      </c>
      <c r="D93" s="3"/>
      <c r="E93" s="3"/>
    </row>
    <row r="94" spans="1:5" ht="12.75">
      <c r="A94" s="78">
        <v>0</v>
      </c>
      <c r="B94" s="58">
        <v>20</v>
      </c>
      <c r="C94" s="76">
        <v>4712</v>
      </c>
      <c r="D94" s="3"/>
      <c r="E94" s="3"/>
    </row>
    <row r="95" spans="1:5" ht="12.75">
      <c r="A95" s="78">
        <v>21</v>
      </c>
      <c r="B95" s="82">
        <v>35</v>
      </c>
      <c r="C95" s="76">
        <v>5531</v>
      </c>
      <c r="D95" s="3"/>
      <c r="E95" s="3"/>
    </row>
    <row r="96" spans="1:5" ht="12.75">
      <c r="A96" s="78">
        <v>36</v>
      </c>
      <c r="B96" s="82">
        <v>55</v>
      </c>
      <c r="C96" s="76">
        <v>6123</v>
      </c>
      <c r="D96" s="3"/>
      <c r="E96" s="3"/>
    </row>
    <row r="97" spans="1:5" ht="12.75">
      <c r="A97" s="78">
        <v>56</v>
      </c>
      <c r="B97" s="82">
        <v>70</v>
      </c>
      <c r="C97" s="76">
        <v>9425</v>
      </c>
      <c r="D97" s="3"/>
      <c r="E97" s="3"/>
    </row>
    <row r="98" spans="1:5" ht="12.75">
      <c r="A98" s="78">
        <v>71</v>
      </c>
      <c r="B98" s="82">
        <v>110</v>
      </c>
      <c r="C98" s="76">
        <v>11062</v>
      </c>
      <c r="D98" s="3"/>
      <c r="E98" s="3"/>
    </row>
    <row r="99" spans="1:5" ht="12.75">
      <c r="A99" s="78">
        <v>111</v>
      </c>
      <c r="B99" s="82">
        <v>145</v>
      </c>
      <c r="C99" s="76">
        <v>12247</v>
      </c>
      <c r="D99" s="3"/>
      <c r="E99" s="3"/>
    </row>
    <row r="100" ht="12.75">
      <c r="E100" s="3"/>
    </row>
  </sheetData>
  <sheetProtection sheet="1" objects="1" scenarios="1"/>
  <printOptions/>
  <pageMargins left="0.75" right="0.75" top="1" bottom="1" header="0.5" footer="0.5"/>
  <pageSetup fitToHeight="0" horizontalDpi="600" verticalDpi="600" orientation="portrait" scale="85" r:id="rId1"/>
  <headerFooter alignWithMargins="0">
    <oddHeader>&amp;CAppendix
Irrigation Energy Source Alternatives</oddHeader>
  </headerFooter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13"/>
  <sheetViews>
    <sheetView showGridLines="0" showRowColHeaders="0" zoomScalePageLayoutView="0" workbookViewId="0" topLeftCell="A1">
      <selection activeCell="B8" sqref="B8"/>
    </sheetView>
  </sheetViews>
  <sheetFormatPr defaultColWidth="9.140625" defaultRowHeight="12.75"/>
  <cols>
    <col min="1" max="1" width="21.140625" style="113" bestFit="1" customWidth="1"/>
    <col min="2" max="2" width="17.8515625" style="113" bestFit="1" customWidth="1"/>
    <col min="3" max="3" width="9.140625" style="113" customWidth="1"/>
    <col min="4" max="4" width="15.7109375" style="113" customWidth="1"/>
    <col min="5" max="5" width="10.28125" style="113" customWidth="1"/>
    <col min="6" max="6" width="12.28125" style="179" bestFit="1" customWidth="1"/>
    <col min="7" max="16384" width="9.140625" style="113" customWidth="1"/>
  </cols>
  <sheetData>
    <row r="1" spans="1:4" ht="36" customHeight="1">
      <c r="A1" s="213" t="s">
        <v>111</v>
      </c>
      <c r="B1" s="213"/>
      <c r="C1" s="213"/>
      <c r="D1" s="213"/>
    </row>
    <row r="2" ht="12.75"/>
    <row r="3" ht="12.75"/>
    <row r="4" ht="12.75"/>
    <row r="5" spans="1:2" ht="12.75">
      <c r="A5" s="114" t="s">
        <v>90</v>
      </c>
      <c r="B5" s="114">
        <f>COUNTA(B8:B145)</f>
        <v>7</v>
      </c>
    </row>
    <row r="6" spans="4:6" ht="12.75">
      <c r="D6" s="201" t="s">
        <v>91</v>
      </c>
      <c r="E6" s="115"/>
      <c r="F6" s="180" t="s">
        <v>92</v>
      </c>
    </row>
    <row r="7" spans="4:6" s="114" customFormat="1" ht="12.75">
      <c r="D7" s="152">
        <f>BHP</f>
        <v>0</v>
      </c>
      <c r="E7" s="153"/>
      <c r="F7" s="181">
        <f>NamePlateHP</f>
        <v>0</v>
      </c>
    </row>
    <row r="8" spans="1:6" s="114" customFormat="1" ht="12.75">
      <c r="A8" s="114" t="s">
        <v>93</v>
      </c>
      <c r="B8" s="118" t="s">
        <v>112</v>
      </c>
      <c r="E8" s="117"/>
      <c r="F8" s="182"/>
    </row>
    <row r="9" spans="1:6" ht="12.75">
      <c r="A9" s="113" t="s">
        <v>94</v>
      </c>
      <c r="B9" s="115"/>
      <c r="D9" s="113">
        <f>AnnHours</f>
        <v>662</v>
      </c>
      <c r="E9" s="115"/>
      <c r="F9" s="179">
        <f>TtlHours</f>
        <v>662</v>
      </c>
    </row>
    <row r="10" spans="1:6" ht="12.75">
      <c r="A10" s="113" t="s">
        <v>95</v>
      </c>
      <c r="B10" s="115"/>
      <c r="D10" s="119">
        <f>WHP/'Look-up Tables'!D5</f>
        <v>55.367231638418076</v>
      </c>
      <c r="E10" s="120"/>
      <c r="F10" s="183">
        <f>kW</f>
        <v>55.367231638418076</v>
      </c>
    </row>
    <row r="11" spans="1:6" ht="12.75">
      <c r="A11" s="113" t="s">
        <v>96</v>
      </c>
      <c r="B11" s="115"/>
      <c r="D11" s="121">
        <f>D9*D10</f>
        <v>36653.107344632765</v>
      </c>
      <c r="E11" s="122"/>
      <c r="F11" s="184">
        <f>F9*F10</f>
        <v>36653.107344632765</v>
      </c>
    </row>
    <row r="12" spans="2:6" ht="12.75">
      <c r="B12" s="115"/>
      <c r="C12" s="200" t="s">
        <v>138</v>
      </c>
      <c r="D12" s="124">
        <f>D20/D11</f>
        <v>0.09082432912742136</v>
      </c>
      <c r="E12" s="125"/>
      <c r="F12" s="185">
        <f>F20/F11</f>
        <v>0.0655</v>
      </c>
    </row>
    <row r="13" spans="1:6" ht="12.75">
      <c r="A13" s="113" t="s">
        <v>97</v>
      </c>
      <c r="B13" s="115"/>
      <c r="C13" s="200"/>
      <c r="D13" s="126"/>
      <c r="E13" s="126"/>
      <c r="F13" s="186"/>
    </row>
    <row r="14" spans="1:8" ht="12.75">
      <c r="A14" s="127" t="s">
        <v>132</v>
      </c>
      <c r="B14" s="115"/>
      <c r="C14" s="123"/>
      <c r="D14" s="128">
        <f>IF((500*kW/0.85)&lt;D11,(500*kW/0.85),D11)</f>
        <v>32568.95978730475</v>
      </c>
      <c r="E14" s="128"/>
      <c r="F14" s="187">
        <f>IF(500*NPHP&lt;F11,500*NPHP,F11)</f>
        <v>0</v>
      </c>
      <c r="G14" s="128"/>
      <c r="H14" s="129"/>
    </row>
    <row r="15" spans="1:8" ht="12.75">
      <c r="A15" s="160"/>
      <c r="B15" s="115"/>
      <c r="C15" s="130" t="s">
        <v>98</v>
      </c>
      <c r="D15" s="161">
        <v>0.094</v>
      </c>
      <c r="E15" s="125"/>
      <c r="F15" s="188">
        <v>0.0925</v>
      </c>
      <c r="G15" s="126"/>
      <c r="H15" s="129"/>
    </row>
    <row r="16" spans="1:8" ht="12.75">
      <c r="A16" s="130"/>
      <c r="B16" s="115"/>
      <c r="C16" s="130"/>
      <c r="D16" s="131">
        <f>D14*D15</f>
        <v>3061.4822200066465</v>
      </c>
      <c r="E16" s="131"/>
      <c r="F16" s="189">
        <f>F14*F15</f>
        <v>0</v>
      </c>
      <c r="G16" s="126"/>
      <c r="H16" s="129"/>
    </row>
    <row r="17" spans="1:8" ht="12.75">
      <c r="A17" s="162" t="s">
        <v>120</v>
      </c>
      <c r="B17" s="115"/>
      <c r="C17" s="123"/>
      <c r="D17" s="164">
        <f>IF(D11-D14&lt;1,0,D11-D14)</f>
        <v>4084.147557328015</v>
      </c>
      <c r="E17" s="134"/>
      <c r="F17" s="190">
        <f>IF(F11-F14&lt;1,0,F11-F14)</f>
        <v>36653.107344632765</v>
      </c>
      <c r="G17" s="129"/>
      <c r="H17" s="129"/>
    </row>
    <row r="18" spans="2:8" ht="12.75">
      <c r="B18" s="115"/>
      <c r="C18" s="130" t="s">
        <v>98</v>
      </c>
      <c r="D18" s="163">
        <v>0.0655</v>
      </c>
      <c r="E18" s="134"/>
      <c r="F18" s="191">
        <v>0.0655</v>
      </c>
      <c r="G18" s="129"/>
      <c r="H18" s="129"/>
    </row>
    <row r="19" spans="2:8" ht="12.75">
      <c r="B19" s="115"/>
      <c r="C19" s="123"/>
      <c r="D19" s="133">
        <f>D17*D18</f>
        <v>267.511665004985</v>
      </c>
      <c r="E19" s="134"/>
      <c r="F19" s="192">
        <f>F17*F18</f>
        <v>2400.778531073446</v>
      </c>
      <c r="G19" s="129"/>
      <c r="H19" s="129"/>
    </row>
    <row r="20" spans="1:8" ht="12.75">
      <c r="A20" s="113" t="s">
        <v>99</v>
      </c>
      <c r="B20" s="115"/>
      <c r="C20" s="123"/>
      <c r="D20" s="133">
        <f>D16+D19</f>
        <v>3328.9938850116314</v>
      </c>
      <c r="E20" s="134"/>
      <c r="F20" s="192">
        <f>F16+F19</f>
        <v>2400.778531073446</v>
      </c>
      <c r="G20" s="135"/>
      <c r="H20" s="129"/>
    </row>
    <row r="21" spans="1:8" ht="12.75">
      <c r="A21" s="162" t="s">
        <v>136</v>
      </c>
      <c r="B21" s="115"/>
      <c r="C21" s="123"/>
      <c r="D21" s="133">
        <v>44</v>
      </c>
      <c r="E21" s="134"/>
      <c r="F21" s="192">
        <v>39.5</v>
      </c>
      <c r="G21" s="135"/>
      <c r="H21" s="129"/>
    </row>
    <row r="22" spans="1:8" ht="12.75">
      <c r="A22" s="162" t="s">
        <v>137</v>
      </c>
      <c r="B22" s="115"/>
      <c r="C22" s="123"/>
      <c r="D22" s="133">
        <f>D21*Inputs!G41</f>
        <v>3256</v>
      </c>
      <c r="E22" s="134"/>
      <c r="F22" s="192">
        <f>IF(F21*NPHP&gt;380,F21*NPHP,380)</f>
        <v>380</v>
      </c>
      <c r="G22" s="135"/>
      <c r="H22" s="129"/>
    </row>
    <row r="23" spans="1:8" ht="12.75">
      <c r="A23" s="179" t="s">
        <v>118</v>
      </c>
      <c r="B23" s="179"/>
      <c r="C23" s="186"/>
      <c r="D23" s="192">
        <v>59.25</v>
      </c>
      <c r="E23" s="134"/>
      <c r="F23" s="192">
        <v>59.25</v>
      </c>
      <c r="G23" s="135"/>
      <c r="H23" s="129"/>
    </row>
    <row r="24" spans="1:11" ht="12.75">
      <c r="A24" s="179" t="s">
        <v>119</v>
      </c>
      <c r="B24" s="179"/>
      <c r="C24" s="179"/>
      <c r="D24" s="193">
        <f>D23*Inputs!G41</f>
        <v>4384.5</v>
      </c>
      <c r="E24" s="136"/>
      <c r="F24" s="193">
        <f>F23*NPHP</f>
        <v>0</v>
      </c>
      <c r="G24" s="137"/>
      <c r="H24" s="137"/>
      <c r="I24" s="137"/>
      <c r="J24" s="137"/>
      <c r="K24" s="137"/>
    </row>
    <row r="25" spans="1:11" ht="12.75">
      <c r="A25" s="179"/>
      <c r="B25" s="179"/>
      <c r="C25" s="179"/>
      <c r="D25" s="196" t="s">
        <v>133</v>
      </c>
      <c r="E25" s="138"/>
      <c r="G25" s="137"/>
      <c r="H25" s="137"/>
      <c r="I25" s="137"/>
      <c r="J25" s="137"/>
      <c r="K25" s="137"/>
    </row>
    <row r="26" spans="2:11" ht="12.75">
      <c r="B26" s="115"/>
      <c r="D26" s="137"/>
      <c r="E26" s="137"/>
      <c r="G26" s="137"/>
      <c r="H26" s="137"/>
      <c r="I26" s="137"/>
      <c r="J26" s="137"/>
      <c r="K26" s="137"/>
    </row>
    <row r="27" spans="2:6" s="114" customFormat="1" ht="12.75">
      <c r="B27" s="117"/>
      <c r="D27" s="116"/>
      <c r="F27" s="182"/>
    </row>
    <row r="28" spans="1:10" ht="12.75">
      <c r="A28" s="114" t="s">
        <v>100</v>
      </c>
      <c r="B28" s="155" t="s">
        <v>113</v>
      </c>
      <c r="C28" s="139"/>
      <c r="G28" s="137"/>
      <c r="H28" s="137"/>
      <c r="I28" s="137"/>
      <c r="J28" s="137"/>
    </row>
    <row r="29" spans="1:6" ht="12.75">
      <c r="A29" s="113" t="s">
        <v>94</v>
      </c>
      <c r="B29" s="115"/>
      <c r="D29" s="113">
        <f>TtlHours</f>
        <v>662</v>
      </c>
      <c r="F29" s="179">
        <f>TtlHours</f>
        <v>662</v>
      </c>
    </row>
    <row r="30" spans="1:6" ht="12.75">
      <c r="A30" s="113" t="s">
        <v>95</v>
      </c>
      <c r="B30" s="115"/>
      <c r="D30" s="119">
        <f>kW</f>
        <v>55.367231638418076</v>
      </c>
      <c r="F30" s="183">
        <f>kW</f>
        <v>55.367231638418076</v>
      </c>
    </row>
    <row r="31" spans="1:6" ht="12.75">
      <c r="A31" s="113" t="s">
        <v>96</v>
      </c>
      <c r="B31" s="115"/>
      <c r="D31" s="121">
        <f>D29*D30</f>
        <v>36653.107344632765</v>
      </c>
      <c r="E31" s="121"/>
      <c r="F31" s="184">
        <f>F29*F30</f>
        <v>36653.107344632765</v>
      </c>
    </row>
    <row r="32" spans="2:6" ht="12.75">
      <c r="B32" s="115"/>
      <c r="C32" s="200" t="s">
        <v>138</v>
      </c>
      <c r="D32" s="124">
        <f>D40/D31</f>
        <v>0.08701261773591612</v>
      </c>
      <c r="E32" s="129"/>
      <c r="F32" s="185">
        <f>F40/F31</f>
        <v>0.060000000000000005</v>
      </c>
    </row>
    <row r="33" spans="1:6" ht="12.75">
      <c r="A33" s="113" t="s">
        <v>97</v>
      </c>
      <c r="B33" s="115"/>
      <c r="C33" s="200"/>
      <c r="D33" s="126"/>
      <c r="E33" s="126"/>
      <c r="F33" s="186"/>
    </row>
    <row r="34" spans="1:8" ht="12.75">
      <c r="A34" s="127" t="s">
        <v>132</v>
      </c>
      <c r="B34" s="115"/>
      <c r="C34" s="123"/>
      <c r="D34" s="128">
        <f>IF((500*kW/0.85)&lt;D31,(500*kW/0.85),D31)</f>
        <v>32568.95978730475</v>
      </c>
      <c r="E34" s="128"/>
      <c r="F34" s="187">
        <f>IF(500*NPHP&lt;F31,500*NPHP,F31)</f>
        <v>0</v>
      </c>
      <c r="G34" s="128"/>
      <c r="H34" s="129"/>
    </row>
    <row r="35" spans="1:8" ht="12.75">
      <c r="A35" s="160"/>
      <c r="B35" s="115"/>
      <c r="C35" s="130" t="s">
        <v>98</v>
      </c>
      <c r="D35" s="161">
        <v>0.0904</v>
      </c>
      <c r="E35" s="125"/>
      <c r="F35" s="188">
        <v>0.0885</v>
      </c>
      <c r="G35" s="126"/>
      <c r="H35" s="129"/>
    </row>
    <row r="36" spans="1:8" ht="12.75">
      <c r="A36" s="130"/>
      <c r="B36" s="115"/>
      <c r="C36" s="130"/>
      <c r="D36" s="131">
        <f>D34*D35</f>
        <v>2944.2339647723493</v>
      </c>
      <c r="E36" s="131"/>
      <c r="F36" s="189">
        <f>F34*F35</f>
        <v>0</v>
      </c>
      <c r="G36" s="126"/>
      <c r="H36" s="129"/>
    </row>
    <row r="37" spans="1:8" ht="12.75">
      <c r="A37" s="162" t="s">
        <v>120</v>
      </c>
      <c r="B37" s="115"/>
      <c r="C37" s="123"/>
      <c r="D37" s="164">
        <f>IF(D31-D34&lt;1,0,D31-D34)</f>
        <v>4084.147557328015</v>
      </c>
      <c r="E37" s="134"/>
      <c r="F37" s="190">
        <f>IF(F31-F34&lt;1,0,F31-F34)</f>
        <v>36653.107344632765</v>
      </c>
      <c r="G37" s="129"/>
      <c r="H37" s="129"/>
    </row>
    <row r="38" spans="2:8" ht="12.75">
      <c r="B38" s="115"/>
      <c r="C38" s="130" t="s">
        <v>98</v>
      </c>
      <c r="D38" s="163">
        <v>0.06</v>
      </c>
      <c r="E38" s="134"/>
      <c r="F38" s="191">
        <v>0.06</v>
      </c>
      <c r="G38" s="129"/>
      <c r="H38" s="129"/>
    </row>
    <row r="39" spans="2:8" ht="12.75">
      <c r="B39" s="115"/>
      <c r="C39" s="123"/>
      <c r="D39" s="133">
        <f>D37*D38</f>
        <v>245.0488534396809</v>
      </c>
      <c r="E39" s="134"/>
      <c r="F39" s="192">
        <f>F37*F38</f>
        <v>2199.186440677966</v>
      </c>
      <c r="G39" s="129"/>
      <c r="H39" s="129"/>
    </row>
    <row r="40" spans="1:8" ht="12.75">
      <c r="A40" s="113" t="s">
        <v>99</v>
      </c>
      <c r="B40" s="115"/>
      <c r="C40" s="123"/>
      <c r="D40" s="133">
        <f>D36+D39</f>
        <v>3189.28281821203</v>
      </c>
      <c r="E40" s="134"/>
      <c r="F40" s="192">
        <f>F36+F39</f>
        <v>2199.186440677966</v>
      </c>
      <c r="G40" s="135"/>
      <c r="H40" s="129"/>
    </row>
    <row r="41" spans="1:8" ht="12.75">
      <c r="A41" s="162" t="s">
        <v>136</v>
      </c>
      <c r="B41" s="115"/>
      <c r="C41" s="123"/>
      <c r="D41" s="133">
        <v>39</v>
      </c>
      <c r="E41" s="134"/>
      <c r="F41" s="192">
        <v>36</v>
      </c>
      <c r="G41" s="135"/>
      <c r="H41" s="129"/>
    </row>
    <row r="42" spans="1:8" ht="12.75">
      <c r="A42" s="162" t="s">
        <v>137</v>
      </c>
      <c r="B42" s="115"/>
      <c r="C42" s="123"/>
      <c r="D42" s="133">
        <f>D41*Inputs!G42</f>
        <v>2886</v>
      </c>
      <c r="E42" s="134"/>
      <c r="F42" s="192">
        <f>IF(F41*NPHP&gt;380,F41*NPHP,380)</f>
        <v>380</v>
      </c>
      <c r="G42" s="135"/>
      <c r="H42" s="129"/>
    </row>
    <row r="43" spans="1:8" ht="12.75">
      <c r="A43" s="179" t="s">
        <v>118</v>
      </c>
      <c r="B43" s="179"/>
      <c r="C43" s="186"/>
      <c r="D43" s="192">
        <v>54</v>
      </c>
      <c r="E43" s="133"/>
      <c r="F43" s="192">
        <v>54</v>
      </c>
      <c r="G43" s="135"/>
      <c r="H43" s="129"/>
    </row>
    <row r="44" spans="1:10" ht="12.75">
      <c r="A44" s="179" t="s">
        <v>119</v>
      </c>
      <c r="B44" s="179"/>
      <c r="C44" s="179"/>
      <c r="D44" s="193">
        <f>D43*Inputs!G42</f>
        <v>3996</v>
      </c>
      <c r="E44" s="140"/>
      <c r="F44" s="193">
        <f>F43*NPHP</f>
        <v>0</v>
      </c>
      <c r="G44" s="114"/>
      <c r="H44" s="114"/>
      <c r="I44" s="114"/>
      <c r="J44" s="114"/>
    </row>
    <row r="45" spans="1:10" ht="12.75">
      <c r="A45" s="179"/>
      <c r="B45" s="179"/>
      <c r="C45" s="179"/>
      <c r="D45" s="196" t="s">
        <v>133</v>
      </c>
      <c r="E45" s="140"/>
      <c r="G45" s="114"/>
      <c r="H45" s="114"/>
      <c r="I45" s="114"/>
      <c r="J45" s="114"/>
    </row>
    <row r="46" ht="12.75">
      <c r="B46" s="115"/>
    </row>
    <row r="47" spans="2:6" s="114" customFormat="1" ht="12.75">
      <c r="B47" s="117"/>
      <c r="D47" s="116"/>
      <c r="F47" s="182"/>
    </row>
    <row r="48" spans="1:3" ht="12.75">
      <c r="A48" s="114" t="s">
        <v>101</v>
      </c>
      <c r="B48" s="155" t="s">
        <v>114</v>
      </c>
      <c r="C48" s="139"/>
    </row>
    <row r="49" spans="1:6" ht="12.75">
      <c r="A49" s="113" t="s">
        <v>94</v>
      </c>
      <c r="B49" s="115"/>
      <c r="D49" s="113">
        <f>TtlHours</f>
        <v>662</v>
      </c>
      <c r="F49" s="179">
        <f>TtlHours</f>
        <v>662</v>
      </c>
    </row>
    <row r="50" spans="1:6" ht="12.75">
      <c r="A50" s="113" t="s">
        <v>95</v>
      </c>
      <c r="B50" s="115"/>
      <c r="D50" s="119">
        <f>kW</f>
        <v>55.367231638418076</v>
      </c>
      <c r="F50" s="183">
        <f>kW</f>
        <v>55.367231638418076</v>
      </c>
    </row>
    <row r="51" spans="1:6" ht="12.75">
      <c r="A51" s="113" t="s">
        <v>96</v>
      </c>
      <c r="B51" s="115"/>
      <c r="D51" s="121">
        <f>D49*D50</f>
        <v>36653.107344632765</v>
      </c>
      <c r="E51" s="121"/>
      <c r="F51" s="184">
        <f>F49*F50</f>
        <v>36653.107344632765</v>
      </c>
    </row>
    <row r="52" spans="2:6" ht="12.75">
      <c r="B52" s="115"/>
      <c r="C52" s="200" t="s">
        <v>138</v>
      </c>
      <c r="D52" s="124">
        <f>D60/D51</f>
        <v>0.08488004265150167</v>
      </c>
      <c r="E52" s="129"/>
      <c r="F52" s="185">
        <f>F60/F51</f>
        <v>0.060000000000000005</v>
      </c>
    </row>
    <row r="53" spans="1:6" ht="12.75">
      <c r="A53" s="113" t="s">
        <v>97</v>
      </c>
      <c r="B53" s="115"/>
      <c r="C53" s="200"/>
      <c r="D53" s="126"/>
      <c r="E53" s="126"/>
      <c r="F53" s="186"/>
    </row>
    <row r="54" spans="1:8" ht="12.75">
      <c r="A54" s="160" t="s">
        <v>132</v>
      </c>
      <c r="B54" s="115"/>
      <c r="C54" s="123"/>
      <c r="D54" s="128">
        <f>IF((500*kW/0.85)&lt;D51,(500*kW/0.85),D51)</f>
        <v>32568.95978730475</v>
      </c>
      <c r="E54" s="128"/>
      <c r="F54" s="187">
        <f>IF(500*NPHP&lt;F51,500*NPHP,F51)</f>
        <v>0</v>
      </c>
      <c r="G54" s="128"/>
      <c r="H54" s="129"/>
    </row>
    <row r="55" spans="1:8" ht="12.75">
      <c r="A55" s="160"/>
      <c r="B55" s="115"/>
      <c r="C55" s="130" t="s">
        <v>98</v>
      </c>
      <c r="D55" s="161">
        <v>0.088</v>
      </c>
      <c r="E55" s="125"/>
      <c r="F55" s="188">
        <v>0.0875</v>
      </c>
      <c r="G55" s="126"/>
      <c r="H55" s="129"/>
    </row>
    <row r="56" spans="1:8" ht="12.75">
      <c r="A56" s="130"/>
      <c r="B56" s="115"/>
      <c r="C56" s="130"/>
      <c r="D56" s="131">
        <f>D54*D55</f>
        <v>2866.0684612828177</v>
      </c>
      <c r="E56" s="131"/>
      <c r="F56" s="189">
        <f>F54*F55</f>
        <v>0</v>
      </c>
      <c r="G56" s="126"/>
      <c r="H56" s="129"/>
    </row>
    <row r="57" spans="1:8" ht="12.75">
      <c r="A57" s="162" t="s">
        <v>120</v>
      </c>
      <c r="B57" s="115"/>
      <c r="C57" s="123"/>
      <c r="D57" s="164">
        <f>IF(D51-D54&lt;1,0,D51-D54)</f>
        <v>4084.147557328015</v>
      </c>
      <c r="E57" s="134"/>
      <c r="F57" s="190">
        <f>IF(F51-F54&lt;1,0,F51-F54)</f>
        <v>36653.107344632765</v>
      </c>
      <c r="G57" s="129"/>
      <c r="H57" s="129"/>
    </row>
    <row r="58" spans="2:8" ht="12.75">
      <c r="B58" s="115"/>
      <c r="C58" s="130" t="s">
        <v>98</v>
      </c>
      <c r="D58" s="163">
        <v>0.06</v>
      </c>
      <c r="E58" s="134"/>
      <c r="F58" s="191">
        <v>0.06</v>
      </c>
      <c r="G58" s="129"/>
      <c r="H58" s="129"/>
    </row>
    <row r="59" spans="2:8" ht="12.75">
      <c r="B59" s="115"/>
      <c r="C59" s="123"/>
      <c r="D59" s="133">
        <f>D57*D58</f>
        <v>245.0488534396809</v>
      </c>
      <c r="E59" s="134"/>
      <c r="F59" s="192">
        <f>F57*F58</f>
        <v>2199.186440677966</v>
      </c>
      <c r="G59" s="129"/>
      <c r="H59" s="129"/>
    </row>
    <row r="60" spans="1:8" ht="12.75">
      <c r="A60" s="113" t="s">
        <v>99</v>
      </c>
      <c r="B60" s="115"/>
      <c r="C60" s="123"/>
      <c r="D60" s="133">
        <f>D56+D59</f>
        <v>3111.1173147224986</v>
      </c>
      <c r="E60" s="134"/>
      <c r="F60" s="192">
        <f>F56+F59</f>
        <v>2199.186440677966</v>
      </c>
      <c r="G60" s="135"/>
      <c r="H60" s="129"/>
    </row>
    <row r="61" spans="1:8" ht="12.75">
      <c r="A61" s="162" t="s">
        <v>136</v>
      </c>
      <c r="B61" s="115"/>
      <c r="C61" s="123"/>
      <c r="D61" s="133">
        <v>35.5</v>
      </c>
      <c r="E61" s="134"/>
      <c r="F61" s="192">
        <v>32.5</v>
      </c>
      <c r="G61" s="135"/>
      <c r="H61" s="129"/>
    </row>
    <row r="62" spans="1:8" ht="12.75">
      <c r="A62" s="162" t="s">
        <v>137</v>
      </c>
      <c r="B62" s="115"/>
      <c r="C62" s="123"/>
      <c r="D62" s="133">
        <f>D61*Inputs!G43</f>
        <v>2627</v>
      </c>
      <c r="E62" s="134"/>
      <c r="F62" s="192">
        <f>IF(F61*NPHP&gt;380,F61*NPHP,380)</f>
        <v>380</v>
      </c>
      <c r="G62" s="135"/>
      <c r="H62" s="129"/>
    </row>
    <row r="63" spans="1:8" ht="12.75">
      <c r="A63" s="197" t="s">
        <v>118</v>
      </c>
      <c r="B63" s="179"/>
      <c r="C63" s="198"/>
      <c r="D63" s="199">
        <v>48.75</v>
      </c>
      <c r="E63" s="134"/>
      <c r="F63" s="192">
        <v>48.75</v>
      </c>
      <c r="G63" s="135"/>
      <c r="H63" s="129"/>
    </row>
    <row r="64" spans="1:6" ht="12.75">
      <c r="A64" s="179" t="s">
        <v>119</v>
      </c>
      <c r="B64" s="179"/>
      <c r="C64" s="179"/>
      <c r="D64" s="193">
        <f>D63*Inputs!G43</f>
        <v>3607.5</v>
      </c>
      <c r="E64" s="129"/>
      <c r="F64" s="193">
        <f>F63*NPHP</f>
        <v>0</v>
      </c>
    </row>
    <row r="65" spans="1:4" ht="12.75">
      <c r="A65" s="179"/>
      <c r="B65" s="179"/>
      <c r="C65" s="179"/>
      <c r="D65" s="196" t="s">
        <v>133</v>
      </c>
    </row>
    <row r="66" spans="2:5" ht="12.75">
      <c r="B66" s="115"/>
      <c r="D66" s="137"/>
      <c r="E66" s="137"/>
    </row>
    <row r="67" spans="2:6" s="114" customFormat="1" ht="12.75">
      <c r="B67" s="117"/>
      <c r="D67" s="116"/>
      <c r="F67" s="182"/>
    </row>
    <row r="68" spans="1:3" ht="12.75">
      <c r="A68" s="114" t="s">
        <v>102</v>
      </c>
      <c r="B68" s="155" t="s">
        <v>115</v>
      </c>
      <c r="C68" s="139"/>
    </row>
    <row r="69" spans="1:6" ht="12.75">
      <c r="A69" s="113" t="s">
        <v>94</v>
      </c>
      <c r="B69" s="115"/>
      <c r="D69" s="113">
        <f>TtlHours</f>
        <v>662</v>
      </c>
      <c r="F69" s="179">
        <f>TtlHours</f>
        <v>662</v>
      </c>
    </row>
    <row r="70" spans="1:6" ht="12.75">
      <c r="A70" s="113" t="s">
        <v>95</v>
      </c>
      <c r="B70" s="115"/>
      <c r="D70" s="119">
        <f>kW</f>
        <v>55.367231638418076</v>
      </c>
      <c r="F70" s="183">
        <f>kW</f>
        <v>55.367231638418076</v>
      </c>
    </row>
    <row r="71" spans="1:6" ht="12.75">
      <c r="A71" s="113" t="s">
        <v>96</v>
      </c>
      <c r="B71" s="115"/>
      <c r="D71" s="121">
        <f>D69*D70</f>
        <v>36653.107344632765</v>
      </c>
      <c r="E71" s="121"/>
      <c r="F71" s="184">
        <f>F69*F70</f>
        <v>36653.107344632765</v>
      </c>
    </row>
    <row r="72" spans="2:6" ht="12.75">
      <c r="B72" s="115"/>
      <c r="C72" s="200" t="s">
        <v>138</v>
      </c>
      <c r="D72" s="124">
        <f>D80/D71</f>
        <v>0.08248089568153545</v>
      </c>
      <c r="E72" s="129"/>
      <c r="F72" s="185">
        <f>F80/F71</f>
        <v>0.060000000000000005</v>
      </c>
    </row>
    <row r="73" spans="1:6" ht="12.75">
      <c r="A73" s="113" t="s">
        <v>97</v>
      </c>
      <c r="B73" s="115"/>
      <c r="C73" s="200"/>
      <c r="D73" s="126"/>
      <c r="E73" s="126"/>
      <c r="F73" s="186"/>
    </row>
    <row r="74" spans="1:8" ht="12.75">
      <c r="A74" s="160" t="s">
        <v>132</v>
      </c>
      <c r="B74" s="115"/>
      <c r="C74" s="123"/>
      <c r="D74" s="128">
        <f>IF((500*kW/0.85)&lt;D71,(500*kW/0.85),D71)</f>
        <v>32568.95978730475</v>
      </c>
      <c r="E74" s="128"/>
      <c r="F74" s="187">
        <f>IF(500*NPHP&lt;F71,500*NPHP,F71)</f>
        <v>0</v>
      </c>
      <c r="G74" s="128"/>
      <c r="H74" s="129"/>
    </row>
    <row r="75" spans="1:8" ht="12.75">
      <c r="A75" s="160"/>
      <c r="B75" s="115"/>
      <c r="C75" s="130" t="s">
        <v>98</v>
      </c>
      <c r="D75" s="161">
        <v>0.0853</v>
      </c>
      <c r="E75" s="125"/>
      <c r="F75" s="188">
        <v>0.0875</v>
      </c>
      <c r="G75" s="126"/>
      <c r="H75" s="129"/>
    </row>
    <row r="76" spans="1:8" ht="12.75">
      <c r="A76" s="130"/>
      <c r="B76" s="115"/>
      <c r="C76" s="130"/>
      <c r="D76" s="131">
        <f>D74*D75</f>
        <v>2778.1322698570953</v>
      </c>
      <c r="E76" s="131"/>
      <c r="F76" s="189">
        <f>F74*F75</f>
        <v>0</v>
      </c>
      <c r="G76" s="126"/>
      <c r="H76" s="129"/>
    </row>
    <row r="77" spans="1:8" ht="12.75">
      <c r="A77" s="162" t="s">
        <v>120</v>
      </c>
      <c r="B77" s="115"/>
      <c r="C77" s="123"/>
      <c r="D77" s="164">
        <f>IF(D71-D74&lt;1,0,D71-D74)</f>
        <v>4084.147557328015</v>
      </c>
      <c r="E77" s="134"/>
      <c r="F77" s="190">
        <f>IF(F71-F74&lt;1,0,F71-F74)</f>
        <v>36653.107344632765</v>
      </c>
      <c r="G77" s="129"/>
      <c r="H77" s="129"/>
    </row>
    <row r="78" spans="2:8" ht="12.75">
      <c r="B78" s="115"/>
      <c r="C78" s="130" t="s">
        <v>98</v>
      </c>
      <c r="D78" s="163">
        <v>0.06</v>
      </c>
      <c r="E78" s="134"/>
      <c r="F78" s="191">
        <v>0.06</v>
      </c>
      <c r="G78" s="129"/>
      <c r="H78" s="129"/>
    </row>
    <row r="79" spans="2:8" ht="12.75">
      <c r="B79" s="115"/>
      <c r="C79" s="123"/>
      <c r="D79" s="133">
        <f>D77*D78</f>
        <v>245.0488534396809</v>
      </c>
      <c r="E79" s="134"/>
      <c r="F79" s="192">
        <f>F77*F78</f>
        <v>2199.186440677966</v>
      </c>
      <c r="G79" s="129"/>
      <c r="H79" s="129"/>
    </row>
    <row r="80" spans="1:8" ht="12.75">
      <c r="A80" s="113" t="s">
        <v>99</v>
      </c>
      <c r="B80" s="115"/>
      <c r="C80" s="123"/>
      <c r="D80" s="133">
        <f>D76+D79</f>
        <v>3023.181123296776</v>
      </c>
      <c r="E80" s="134"/>
      <c r="F80" s="192">
        <f>F76+F79</f>
        <v>2199.186440677966</v>
      </c>
      <c r="G80" s="135"/>
      <c r="H80" s="129"/>
    </row>
    <row r="81" spans="1:8" ht="12.75">
      <c r="A81" s="162" t="s">
        <v>136</v>
      </c>
      <c r="B81" s="115"/>
      <c r="C81" s="123"/>
      <c r="D81" s="133">
        <v>32</v>
      </c>
      <c r="E81" s="134"/>
      <c r="F81" s="192">
        <v>28.5</v>
      </c>
      <c r="G81" s="135"/>
      <c r="H81" s="129"/>
    </row>
    <row r="82" spans="1:8" ht="12.75">
      <c r="A82" s="162" t="s">
        <v>137</v>
      </c>
      <c r="B82" s="115"/>
      <c r="C82" s="123"/>
      <c r="D82" s="133">
        <f>D81*Inputs!G51</f>
        <v>2368</v>
      </c>
      <c r="E82" s="134"/>
      <c r="F82" s="192">
        <f>IF(F81*NPHP&gt;380,F81*NPHP,380)</f>
        <v>380</v>
      </c>
      <c r="G82" s="135"/>
      <c r="H82" s="129"/>
    </row>
    <row r="83" spans="1:8" ht="12.75">
      <c r="A83" s="179" t="s">
        <v>118</v>
      </c>
      <c r="B83" s="179"/>
      <c r="C83" s="186"/>
      <c r="D83" s="192">
        <v>42.75</v>
      </c>
      <c r="E83" s="134"/>
      <c r="F83" s="192">
        <v>42.75</v>
      </c>
      <c r="G83" s="135"/>
      <c r="H83" s="129"/>
    </row>
    <row r="84" spans="1:6" ht="12.75">
      <c r="A84" s="179" t="s">
        <v>119</v>
      </c>
      <c r="B84" s="179"/>
      <c r="C84" s="179"/>
      <c r="D84" s="193">
        <f>D83*Inputs!G43</f>
        <v>3163.5</v>
      </c>
      <c r="E84" s="129"/>
      <c r="F84" s="193">
        <f>F83*NPHP</f>
        <v>0</v>
      </c>
    </row>
    <row r="85" spans="1:4" ht="12.75">
      <c r="A85" s="179"/>
      <c r="B85" s="179"/>
      <c r="C85" s="179"/>
      <c r="D85" s="196" t="s">
        <v>133</v>
      </c>
    </row>
    <row r="86" ht="12.75">
      <c r="B86" s="115"/>
    </row>
    <row r="87" spans="2:6" s="114" customFormat="1" ht="12.75">
      <c r="B87" s="117"/>
      <c r="D87" s="116"/>
      <c r="F87" s="182"/>
    </row>
    <row r="88" spans="1:3" ht="12.75">
      <c r="A88" s="114" t="s">
        <v>103</v>
      </c>
      <c r="B88" s="155" t="s">
        <v>116</v>
      </c>
      <c r="C88" s="139"/>
    </row>
    <row r="89" spans="1:6" ht="12.75">
      <c r="A89" s="113" t="s">
        <v>94</v>
      </c>
      <c r="B89" s="115"/>
      <c r="D89" s="113">
        <f>TtlHours</f>
        <v>662</v>
      </c>
      <c r="F89" s="179">
        <f>TtlHours</f>
        <v>662</v>
      </c>
    </row>
    <row r="90" spans="1:6" ht="12.75">
      <c r="A90" s="113" t="s">
        <v>95</v>
      </c>
      <c r="B90" s="115"/>
      <c r="D90" s="119">
        <f>kW</f>
        <v>55.367231638418076</v>
      </c>
      <c r="F90" s="183">
        <f>kW</f>
        <v>55.367231638418076</v>
      </c>
    </row>
    <row r="91" spans="1:6" ht="12.75">
      <c r="A91" s="113" t="s">
        <v>96</v>
      </c>
      <c r="B91" s="115"/>
      <c r="D91" s="121">
        <f>D89*D90</f>
        <v>36653.107344632765</v>
      </c>
      <c r="E91" s="121"/>
      <c r="F91" s="184">
        <f>F89*F90</f>
        <v>36653.107344632765</v>
      </c>
    </row>
    <row r="92" spans="2:6" ht="12.75">
      <c r="B92" s="115"/>
      <c r="C92" s="200" t="s">
        <v>138</v>
      </c>
      <c r="D92" s="124">
        <f>D100/D91</f>
        <v>0.08061489248267283</v>
      </c>
      <c r="E92" s="129"/>
      <c r="F92" s="185">
        <f>F100/F91</f>
        <v>0.060000000000000005</v>
      </c>
    </row>
    <row r="93" spans="1:6" ht="12.75">
      <c r="A93" s="113" t="s">
        <v>97</v>
      </c>
      <c r="B93" s="115"/>
      <c r="C93" s="200"/>
      <c r="D93" s="126"/>
      <c r="E93" s="126"/>
      <c r="F93" s="186"/>
    </row>
    <row r="94" spans="1:8" ht="12.75">
      <c r="A94" s="160" t="s">
        <v>132</v>
      </c>
      <c r="B94" s="115"/>
      <c r="C94" s="123"/>
      <c r="D94" s="128">
        <f>IF((500*kW/0.85)&lt;D91,(500*kW/0.85),D91)</f>
        <v>32568.95978730475</v>
      </c>
      <c r="E94" s="128"/>
      <c r="F94" s="187">
        <f>IF(500*NPHP&lt;F91,500*NPHP,F91)</f>
        <v>0</v>
      </c>
      <c r="G94" s="128"/>
      <c r="H94" s="129"/>
    </row>
    <row r="95" spans="1:8" ht="12.75">
      <c r="A95" s="160"/>
      <c r="B95" s="115"/>
      <c r="C95" s="130" t="s">
        <v>98</v>
      </c>
      <c r="D95" s="161">
        <v>0.0832</v>
      </c>
      <c r="E95" s="125"/>
      <c r="F95" s="188">
        <v>0.086</v>
      </c>
      <c r="G95" s="126"/>
      <c r="H95" s="129"/>
    </row>
    <row r="96" spans="1:8" ht="12.75">
      <c r="A96" s="130"/>
      <c r="B96" s="115"/>
      <c r="C96" s="130"/>
      <c r="D96" s="131">
        <f>D94*D95</f>
        <v>2709.737454303755</v>
      </c>
      <c r="E96" s="131"/>
      <c r="F96" s="189">
        <f>F94*F95</f>
        <v>0</v>
      </c>
      <c r="G96" s="126"/>
      <c r="H96" s="129"/>
    </row>
    <row r="97" spans="1:8" ht="12.75">
      <c r="A97" s="162" t="s">
        <v>120</v>
      </c>
      <c r="B97" s="115"/>
      <c r="C97" s="123"/>
      <c r="D97" s="164">
        <f>IF(D91-D94&lt;1,0,D91-D94)</f>
        <v>4084.147557328015</v>
      </c>
      <c r="E97" s="134"/>
      <c r="F97" s="190">
        <f>IF(F91-F94&lt;1,0,F91-F94)</f>
        <v>36653.107344632765</v>
      </c>
      <c r="G97" s="129"/>
      <c r="H97" s="129"/>
    </row>
    <row r="98" spans="2:8" ht="12.75">
      <c r="B98" s="115"/>
      <c r="C98" s="130" t="s">
        <v>98</v>
      </c>
      <c r="D98" s="163">
        <v>0.06</v>
      </c>
      <c r="E98" s="134"/>
      <c r="F98" s="191">
        <v>0.06</v>
      </c>
      <c r="G98" s="129"/>
      <c r="H98" s="129"/>
    </row>
    <row r="99" spans="2:8" ht="12.75">
      <c r="B99" s="115"/>
      <c r="C99" s="123"/>
      <c r="D99" s="133">
        <f>D97*D98</f>
        <v>245.0488534396809</v>
      </c>
      <c r="E99" s="134"/>
      <c r="F99" s="192">
        <f>F97*F98</f>
        <v>2199.186440677966</v>
      </c>
      <c r="G99" s="129"/>
      <c r="H99" s="129"/>
    </row>
    <row r="100" spans="1:8" ht="12.75">
      <c r="A100" s="113" t="s">
        <v>99</v>
      </c>
      <c r="B100" s="115"/>
      <c r="C100" s="123"/>
      <c r="D100" s="133">
        <f>D96+D99</f>
        <v>2954.786307743436</v>
      </c>
      <c r="E100" s="134"/>
      <c r="F100" s="192">
        <f>F96+F99</f>
        <v>2199.186440677966</v>
      </c>
      <c r="G100" s="135"/>
      <c r="H100" s="129"/>
    </row>
    <row r="101" spans="1:8" ht="12.75">
      <c r="A101" s="162" t="s">
        <v>136</v>
      </c>
      <c r="B101" s="115"/>
      <c r="C101" s="123"/>
      <c r="D101" s="133">
        <v>28.5</v>
      </c>
      <c r="E101" s="134"/>
      <c r="F101" s="192">
        <v>25.75</v>
      </c>
      <c r="G101" s="135"/>
      <c r="H101" s="129"/>
    </row>
    <row r="102" spans="1:8" ht="12.75">
      <c r="A102" s="162" t="s">
        <v>137</v>
      </c>
      <c r="B102" s="115"/>
      <c r="C102" s="123"/>
      <c r="D102" s="133">
        <f>D101*Inputs!G52</f>
        <v>2109</v>
      </c>
      <c r="E102" s="134"/>
      <c r="F102" s="192">
        <f>IF(F101*NPHP&gt;380,F101*NPHP,380)</f>
        <v>380</v>
      </c>
      <c r="G102" s="135"/>
      <c r="H102" s="129"/>
    </row>
    <row r="103" spans="1:8" ht="12.75">
      <c r="A103" s="179" t="s">
        <v>118</v>
      </c>
      <c r="B103" s="179"/>
      <c r="C103" s="186"/>
      <c r="D103" s="192">
        <v>38.65</v>
      </c>
      <c r="E103" s="134"/>
      <c r="F103" s="192">
        <v>38.65</v>
      </c>
      <c r="G103" s="135"/>
      <c r="H103" s="129"/>
    </row>
    <row r="104" spans="1:6" ht="12.75">
      <c r="A104" s="179" t="s">
        <v>119</v>
      </c>
      <c r="B104" s="179"/>
      <c r="C104" s="179"/>
      <c r="D104" s="193">
        <f>D103*Inputs!G44</f>
        <v>2860.1</v>
      </c>
      <c r="E104" s="129"/>
      <c r="F104" s="193">
        <f>F103*NPHP</f>
        <v>0</v>
      </c>
    </row>
    <row r="105" spans="1:4" ht="12.75">
      <c r="A105" s="179"/>
      <c r="B105" s="179"/>
      <c r="C105" s="179"/>
      <c r="D105" s="196" t="s">
        <v>133</v>
      </c>
    </row>
    <row r="106" ht="12.75">
      <c r="B106" s="115"/>
    </row>
    <row r="107" spans="2:6" s="114" customFormat="1" ht="12.75">
      <c r="B107" s="117"/>
      <c r="D107" s="116"/>
      <c r="F107" s="182"/>
    </row>
    <row r="108" spans="1:3" ht="12.75">
      <c r="A108" s="114" t="s">
        <v>104</v>
      </c>
      <c r="B108" s="155" t="s">
        <v>117</v>
      </c>
      <c r="C108" s="139"/>
    </row>
    <row r="109" spans="1:6" ht="12.75">
      <c r="A109" s="113" t="s">
        <v>94</v>
      </c>
      <c r="B109" s="115"/>
      <c r="D109" s="113">
        <f>TtlHours</f>
        <v>662</v>
      </c>
      <c r="F109" s="179">
        <f>TtlHours</f>
        <v>662</v>
      </c>
    </row>
    <row r="110" spans="1:6" ht="12.75">
      <c r="A110" s="113" t="s">
        <v>95</v>
      </c>
      <c r="B110" s="115"/>
      <c r="D110" s="119">
        <f>kW</f>
        <v>55.367231638418076</v>
      </c>
      <c r="F110" s="183">
        <f>kW</f>
        <v>55.367231638418076</v>
      </c>
    </row>
    <row r="111" spans="1:6" ht="12.75">
      <c r="A111" s="113" t="s">
        <v>96</v>
      </c>
      <c r="B111" s="115"/>
      <c r="D111" s="121">
        <f>D109*D110</f>
        <v>36653.107344632765</v>
      </c>
      <c r="E111" s="121"/>
      <c r="F111" s="184">
        <f>F109*F110</f>
        <v>36653.107344632765</v>
      </c>
    </row>
    <row r="112" spans="2:6" ht="12.75">
      <c r="B112" s="115"/>
      <c r="C112" s="200" t="s">
        <v>138</v>
      </c>
      <c r="D112" s="124">
        <f>D120/D111</f>
        <v>0.07321574551270658</v>
      </c>
      <c r="E112" s="129"/>
      <c r="F112" s="185">
        <f>F120/F111</f>
        <v>0.055</v>
      </c>
    </row>
    <row r="113" spans="1:6" ht="12.75">
      <c r="A113" s="113" t="s">
        <v>97</v>
      </c>
      <c r="B113" s="115"/>
      <c r="C113" s="200"/>
      <c r="D113" s="126"/>
      <c r="E113" s="126"/>
      <c r="F113" s="186"/>
    </row>
    <row r="114" spans="1:8" ht="12.75">
      <c r="A114" s="160" t="s">
        <v>132</v>
      </c>
      <c r="B114" s="115"/>
      <c r="C114" s="123"/>
      <c r="D114" s="128">
        <f>IF((500*kW/0.85)&lt;D111,(500*kW/0.85),D111)</f>
        <v>32568.95978730475</v>
      </c>
      <c r="E114" s="128"/>
      <c r="F114" s="187">
        <f>IF(500*NPHP&lt;F111,500*NPHP,F111)</f>
        <v>0</v>
      </c>
      <c r="G114" s="128"/>
      <c r="H114" s="129"/>
    </row>
    <row r="115" spans="1:8" ht="12.75">
      <c r="A115" s="160"/>
      <c r="B115" s="115"/>
      <c r="C115" s="130" t="s">
        <v>98</v>
      </c>
      <c r="D115" s="175">
        <v>0.0755</v>
      </c>
      <c r="E115" s="125"/>
      <c r="F115" s="194">
        <v>0.0795</v>
      </c>
      <c r="G115" s="126"/>
      <c r="H115" s="129"/>
    </row>
    <row r="116" spans="1:8" ht="12.75">
      <c r="A116" s="130"/>
      <c r="B116" s="115"/>
      <c r="C116" s="130"/>
      <c r="D116" s="131">
        <f>D114*D115</f>
        <v>2458.9564639415084</v>
      </c>
      <c r="E116" s="131"/>
      <c r="F116" s="189">
        <f>F114*F115</f>
        <v>0</v>
      </c>
      <c r="G116" s="126"/>
      <c r="H116" s="129"/>
    </row>
    <row r="117" spans="1:8" ht="12.75">
      <c r="A117" s="162" t="s">
        <v>120</v>
      </c>
      <c r="B117" s="115"/>
      <c r="C117" s="123"/>
      <c r="D117" s="164">
        <f>IF(D111-D114&lt;1,0,D111-D114)</f>
        <v>4084.147557328015</v>
      </c>
      <c r="E117" s="134"/>
      <c r="F117" s="190">
        <f>IF(F111-F114&lt;1,0,F111-F114)</f>
        <v>36653.107344632765</v>
      </c>
      <c r="G117" s="129"/>
      <c r="H117" s="129"/>
    </row>
    <row r="118" spans="2:8" ht="12.75">
      <c r="B118" s="115"/>
      <c r="C118" s="130" t="s">
        <v>98</v>
      </c>
      <c r="D118" s="163">
        <v>0.055</v>
      </c>
      <c r="E118" s="134"/>
      <c r="F118" s="191">
        <v>0.055</v>
      </c>
      <c r="G118" s="129"/>
      <c r="H118" s="129"/>
    </row>
    <row r="119" spans="2:8" ht="12.75">
      <c r="B119" s="115"/>
      <c r="C119" s="123"/>
      <c r="D119" s="133">
        <f>D117*D118</f>
        <v>224.62811565304082</v>
      </c>
      <c r="E119" s="134"/>
      <c r="F119" s="192">
        <f>F117*F118</f>
        <v>2015.920903954802</v>
      </c>
      <c r="G119" s="129"/>
      <c r="H119" s="129"/>
    </row>
    <row r="120" spans="1:8" ht="12.75">
      <c r="A120" s="113" t="s">
        <v>99</v>
      </c>
      <c r="B120" s="115"/>
      <c r="C120" s="123"/>
      <c r="D120" s="133">
        <f>D116+D119</f>
        <v>2683.5845795945493</v>
      </c>
      <c r="E120" s="134"/>
      <c r="F120" s="192">
        <f>F116+F119</f>
        <v>2015.920903954802</v>
      </c>
      <c r="G120" s="135"/>
      <c r="H120" s="129"/>
    </row>
    <row r="121" spans="1:8" ht="12.75">
      <c r="A121" s="162" t="s">
        <v>136</v>
      </c>
      <c r="B121" s="115"/>
      <c r="C121" s="123"/>
      <c r="D121" s="133">
        <v>23.5</v>
      </c>
      <c r="E121" s="134"/>
      <c r="F121" s="192">
        <v>21.25</v>
      </c>
      <c r="G121" s="135"/>
      <c r="H121" s="129"/>
    </row>
    <row r="122" spans="1:8" ht="12.75">
      <c r="A122" s="162" t="s">
        <v>137</v>
      </c>
      <c r="B122" s="115"/>
      <c r="C122" s="123"/>
      <c r="D122" s="133">
        <f>D121*Inputs!G53</f>
        <v>1739</v>
      </c>
      <c r="E122" s="134"/>
      <c r="F122" s="192">
        <f>IF(F121*NPHP&gt;380,F121*NPHP,380)</f>
        <v>380</v>
      </c>
      <c r="G122" s="135"/>
      <c r="H122" s="129"/>
    </row>
    <row r="123" spans="1:8" ht="12.75">
      <c r="A123" s="179" t="s">
        <v>118</v>
      </c>
      <c r="B123" s="179"/>
      <c r="C123" s="186"/>
      <c r="D123" s="192">
        <v>31.85</v>
      </c>
      <c r="E123" s="134"/>
      <c r="F123" s="192">
        <v>31.85</v>
      </c>
      <c r="G123" s="135"/>
      <c r="H123" s="129"/>
    </row>
    <row r="124" spans="1:6" ht="12.75">
      <c r="A124" s="179" t="s">
        <v>119</v>
      </c>
      <c r="B124" s="179"/>
      <c r="C124" s="179"/>
      <c r="D124" s="193">
        <f>D123*Inputs!G45</f>
        <v>2356.9</v>
      </c>
      <c r="E124" s="129"/>
      <c r="F124" s="193">
        <f>F123*NPHP</f>
        <v>0</v>
      </c>
    </row>
    <row r="125" spans="1:4" ht="12.75">
      <c r="A125" s="179"/>
      <c r="B125" s="179"/>
      <c r="C125" s="179"/>
      <c r="D125" s="196" t="s">
        <v>133</v>
      </c>
    </row>
    <row r="126" ht="12.75">
      <c r="B126" s="115"/>
    </row>
    <row r="127" spans="2:6" s="114" customFormat="1" ht="12.75">
      <c r="B127" s="117"/>
      <c r="D127" s="116"/>
      <c r="F127" s="182"/>
    </row>
    <row r="128" spans="1:3" ht="12.75">
      <c r="A128" s="114" t="s">
        <v>105</v>
      </c>
      <c r="B128" s="155" t="s">
        <v>141</v>
      </c>
      <c r="C128" s="139"/>
    </row>
    <row r="129" spans="1:6" ht="12.75">
      <c r="A129" s="113" t="s">
        <v>94</v>
      </c>
      <c r="B129" s="115"/>
      <c r="D129" s="113">
        <f>TtlHours</f>
        <v>662</v>
      </c>
      <c r="F129" s="179">
        <f>TtlHours</f>
        <v>662</v>
      </c>
    </row>
    <row r="130" spans="1:6" ht="12.75">
      <c r="A130" s="113" t="s">
        <v>95</v>
      </c>
      <c r="B130" s="115"/>
      <c r="D130" s="119">
        <f>kW</f>
        <v>55.367231638418076</v>
      </c>
      <c r="F130" s="183">
        <f>kW</f>
        <v>55.367231638418076</v>
      </c>
    </row>
    <row r="131" spans="1:6" ht="12.75">
      <c r="A131" s="113" t="s">
        <v>96</v>
      </c>
      <c r="B131" s="115"/>
      <c r="D131" s="121">
        <f>D129*D130</f>
        <v>36653.107344632765</v>
      </c>
      <c r="E131" s="121"/>
      <c r="F131" s="184">
        <f>F129*F130</f>
        <v>36653.107344632765</v>
      </c>
    </row>
    <row r="132" spans="2:6" ht="12.75">
      <c r="B132" s="115"/>
      <c r="C132" s="200" t="s">
        <v>138</v>
      </c>
      <c r="D132" s="124">
        <f>D140/D131</f>
        <v>0.0647</v>
      </c>
      <c r="E132" s="129"/>
      <c r="F132" s="185">
        <f>F140/F131</f>
        <v>0.0675</v>
      </c>
    </row>
    <row r="133" spans="1:6" ht="12.75">
      <c r="A133" s="113" t="s">
        <v>97</v>
      </c>
      <c r="B133" s="115"/>
      <c r="C133" s="200"/>
      <c r="D133" s="126"/>
      <c r="E133" s="126"/>
      <c r="F133" s="186"/>
    </row>
    <row r="134" spans="1:8" ht="12.75">
      <c r="A134" s="127" t="s">
        <v>109</v>
      </c>
      <c r="B134" s="115"/>
      <c r="C134" s="123"/>
      <c r="D134" s="128">
        <f>D131</f>
        <v>36653.107344632765</v>
      </c>
      <c r="E134" s="128"/>
      <c r="F134" s="187">
        <f>F131</f>
        <v>36653.107344632765</v>
      </c>
      <c r="G134" s="128"/>
      <c r="H134" s="129"/>
    </row>
    <row r="135" spans="1:8" ht="12.75">
      <c r="A135" s="130"/>
      <c r="B135" s="115"/>
      <c r="C135" s="130" t="s">
        <v>98</v>
      </c>
      <c r="D135" s="125">
        <v>0.0647</v>
      </c>
      <c r="E135" s="125"/>
      <c r="F135" s="185">
        <v>0.0675</v>
      </c>
      <c r="G135" s="126"/>
      <c r="H135" s="129"/>
    </row>
    <row r="136" spans="1:8" ht="12.75">
      <c r="A136" s="130"/>
      <c r="B136" s="115"/>
      <c r="C136" s="130"/>
      <c r="D136" s="131">
        <f>D134*D135</f>
        <v>2371.4560451977395</v>
      </c>
      <c r="E136" s="131"/>
      <c r="F136" s="189">
        <f>F134*F135</f>
        <v>2474.084745762712</v>
      </c>
      <c r="G136" s="126"/>
      <c r="H136" s="129"/>
    </row>
    <row r="137" spans="1:8" ht="12.75">
      <c r="A137" s="154"/>
      <c r="B137" s="115"/>
      <c r="C137" s="123"/>
      <c r="D137" s="132"/>
      <c r="E137" s="132"/>
      <c r="F137" s="195"/>
      <c r="G137" s="132"/>
      <c r="H137" s="129"/>
    </row>
    <row r="138" spans="2:8" ht="12.75">
      <c r="B138" s="115"/>
      <c r="C138" s="130"/>
      <c r="D138" s="125"/>
      <c r="E138" s="125"/>
      <c r="F138" s="185"/>
      <c r="G138" s="126"/>
      <c r="H138" s="129"/>
    </row>
    <row r="139" spans="2:8" ht="12.75">
      <c r="B139" s="115"/>
      <c r="C139" s="123"/>
      <c r="D139" s="133"/>
      <c r="E139" s="134"/>
      <c r="F139" s="192"/>
      <c r="G139" s="129"/>
      <c r="H139" s="129"/>
    </row>
    <row r="140" spans="1:8" ht="12.75">
      <c r="A140" s="113" t="s">
        <v>99</v>
      </c>
      <c r="B140" s="115"/>
      <c r="C140" s="123"/>
      <c r="D140" s="133">
        <f>D136+D139</f>
        <v>2371.4560451977395</v>
      </c>
      <c r="E140" s="134"/>
      <c r="F140" s="192">
        <f>F136+F139</f>
        <v>2474.084745762712</v>
      </c>
      <c r="G140" s="135"/>
      <c r="H140" s="129"/>
    </row>
    <row r="141" spans="1:8" ht="12.75">
      <c r="A141" s="162" t="s">
        <v>136</v>
      </c>
      <c r="B141" s="115"/>
      <c r="C141" s="123"/>
      <c r="D141" s="133">
        <v>19.5</v>
      </c>
      <c r="E141" s="134"/>
      <c r="F141" s="192">
        <v>17.25</v>
      </c>
      <c r="G141" s="135"/>
      <c r="H141" s="129"/>
    </row>
    <row r="142" spans="1:8" ht="12.75">
      <c r="A142" s="162" t="s">
        <v>137</v>
      </c>
      <c r="B142" s="115"/>
      <c r="C142" s="123"/>
      <c r="D142" s="133">
        <f>D141*Inputs!G54</f>
        <v>1443</v>
      </c>
      <c r="E142" s="134"/>
      <c r="F142" s="192">
        <f>IF(F141*NPHP&gt;380,F141*NPHP,380)</f>
        <v>380</v>
      </c>
      <c r="G142" s="135"/>
      <c r="H142" s="129"/>
    </row>
    <row r="143" spans="1:8" ht="12.75">
      <c r="A143" s="179" t="s">
        <v>118</v>
      </c>
      <c r="B143" s="179"/>
      <c r="C143" s="186"/>
      <c r="D143" s="192">
        <v>25.85</v>
      </c>
      <c r="E143" s="134"/>
      <c r="F143" s="192">
        <v>25.85</v>
      </c>
      <c r="G143" s="135"/>
      <c r="H143" s="129"/>
    </row>
    <row r="144" spans="1:6" ht="12.75">
      <c r="A144" s="179" t="s">
        <v>119</v>
      </c>
      <c r="B144" s="179"/>
      <c r="C144" s="179"/>
      <c r="D144" s="193">
        <f>D143*Inputs!G46</f>
        <v>1912.9</v>
      </c>
      <c r="E144" s="129"/>
      <c r="F144" s="193">
        <f>F143*NPHP</f>
        <v>0</v>
      </c>
    </row>
    <row r="145" spans="1:4" ht="12.75">
      <c r="A145" s="179"/>
      <c r="B145" s="179"/>
      <c r="C145" s="179"/>
      <c r="D145" s="196" t="s">
        <v>133</v>
      </c>
    </row>
    <row r="146" ht="12.75">
      <c r="B146" s="115"/>
    </row>
    <row r="147" ht="12.75">
      <c r="B147" s="115"/>
    </row>
    <row r="148" ht="12.75">
      <c r="B148" s="115"/>
    </row>
    <row r="149" ht="12.75">
      <c r="B149" s="115"/>
    </row>
    <row r="150" ht="12.75">
      <c r="B150" s="115"/>
    </row>
    <row r="151" ht="12.75">
      <c r="B151" s="115"/>
    </row>
    <row r="152" ht="12.75">
      <c r="B152" s="115"/>
    </row>
    <row r="153" ht="12.75">
      <c r="B153" s="115"/>
    </row>
    <row r="154" ht="12.75">
      <c r="B154" s="115"/>
    </row>
    <row r="155" ht="12.75">
      <c r="B155" s="115"/>
    </row>
    <row r="156" ht="12.75">
      <c r="B156" s="115"/>
    </row>
    <row r="157" ht="12.75">
      <c r="B157" s="115"/>
    </row>
    <row r="158" ht="12.75">
      <c r="B158" s="115"/>
    </row>
    <row r="159" ht="12.75">
      <c r="B159" s="115"/>
    </row>
    <row r="160" ht="12.75">
      <c r="B160" s="115"/>
    </row>
    <row r="161" ht="12.75">
      <c r="B161" s="115"/>
    </row>
    <row r="162" ht="12.75">
      <c r="B162" s="115"/>
    </row>
    <row r="163" ht="12.75">
      <c r="B163" s="115"/>
    </row>
    <row r="164" ht="12.75">
      <c r="B164" s="115"/>
    </row>
    <row r="165" ht="12.75">
      <c r="B165" s="115"/>
    </row>
    <row r="166" ht="12.75">
      <c r="B166" s="115"/>
    </row>
    <row r="167" ht="12.75">
      <c r="B167" s="115"/>
    </row>
    <row r="168" ht="12.75">
      <c r="B168" s="115"/>
    </row>
    <row r="169" ht="12.75">
      <c r="B169" s="115"/>
    </row>
    <row r="170" ht="12.75">
      <c r="B170" s="115"/>
    </row>
    <row r="171" ht="12.75">
      <c r="B171" s="115"/>
    </row>
    <row r="172" ht="12.75">
      <c r="B172" s="115"/>
    </row>
    <row r="173" ht="12.75">
      <c r="B173" s="115"/>
    </row>
    <row r="174" ht="12.75">
      <c r="B174" s="115"/>
    </row>
    <row r="175" ht="12.75">
      <c r="B175" s="115"/>
    </row>
    <row r="176" ht="12.75">
      <c r="B176" s="115"/>
    </row>
    <row r="177" ht="12.75">
      <c r="B177" s="115"/>
    </row>
    <row r="178" ht="12.75">
      <c r="B178" s="115"/>
    </row>
    <row r="179" ht="12.75">
      <c r="B179" s="115"/>
    </row>
    <row r="180" ht="12.75">
      <c r="B180" s="115"/>
    </row>
    <row r="181" ht="12.75">
      <c r="B181" s="115"/>
    </row>
    <row r="182" ht="12.75">
      <c r="B182" s="115"/>
    </row>
    <row r="183" ht="12.75">
      <c r="B183" s="115"/>
    </row>
    <row r="184" ht="12.75">
      <c r="B184" s="115"/>
    </row>
    <row r="185" ht="12.75">
      <c r="B185" s="115"/>
    </row>
    <row r="186" ht="12.75">
      <c r="B186" s="115"/>
    </row>
    <row r="187" ht="12.75">
      <c r="B187" s="115"/>
    </row>
    <row r="188" ht="12.75">
      <c r="B188" s="115"/>
    </row>
    <row r="189" ht="12.75">
      <c r="B189" s="115"/>
    </row>
    <row r="190" ht="12.75">
      <c r="B190" s="115"/>
    </row>
    <row r="191" ht="12.75">
      <c r="B191" s="115"/>
    </row>
    <row r="192" ht="12.75">
      <c r="B192" s="115"/>
    </row>
    <row r="193" ht="12.75">
      <c r="B193" s="115"/>
    </row>
    <row r="194" ht="12.75">
      <c r="B194" s="115"/>
    </row>
    <row r="195" ht="12.75">
      <c r="B195" s="115"/>
    </row>
    <row r="196" ht="12.75">
      <c r="B196" s="115"/>
    </row>
    <row r="197" ht="12.75">
      <c r="B197" s="115"/>
    </row>
    <row r="198" ht="12.75">
      <c r="B198" s="115"/>
    </row>
    <row r="199" ht="12.75">
      <c r="B199" s="115"/>
    </row>
    <row r="200" ht="12.75">
      <c r="B200" s="115"/>
    </row>
    <row r="201" ht="12.75">
      <c r="B201" s="115"/>
    </row>
    <row r="202" ht="12.75">
      <c r="B202" s="115"/>
    </row>
    <row r="203" ht="12.75">
      <c r="B203" s="115"/>
    </row>
    <row r="204" ht="12.75">
      <c r="B204" s="115"/>
    </row>
    <row r="205" ht="12.75">
      <c r="B205" s="115"/>
    </row>
    <row r="206" ht="12.75">
      <c r="B206" s="115"/>
    </row>
    <row r="207" ht="12.75">
      <c r="B207" s="115"/>
    </row>
    <row r="208" ht="12.75">
      <c r="B208" s="115"/>
    </row>
    <row r="209" ht="12.75">
      <c r="B209" s="115"/>
    </row>
    <row r="210" ht="12.75">
      <c r="B210" s="115"/>
    </row>
    <row r="211" ht="12.75">
      <c r="B211" s="115"/>
    </row>
    <row r="212" ht="12.75">
      <c r="B212" s="115"/>
    </row>
    <row r="213" ht="12.75">
      <c r="B213" s="115"/>
    </row>
  </sheetData>
  <sheetProtection sheet="1" objects="1" scenarios="1"/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scrcals</dc:creator>
  <cp:keywords/>
  <dc:description/>
  <cp:lastModifiedBy>NPPD</cp:lastModifiedBy>
  <cp:lastPrinted>2011-01-11T21:53:42Z</cp:lastPrinted>
  <dcterms:created xsi:type="dcterms:W3CDTF">2001-07-27T20:30:02Z</dcterms:created>
  <dcterms:modified xsi:type="dcterms:W3CDTF">2018-03-15T17:31:43Z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