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20" activeTab="0"/>
  </bookViews>
  <sheets>
    <sheet name="Inputs" sheetId="1" r:id="rId1"/>
    <sheet name="Chart1" sheetId="2" r:id="rId2"/>
    <sheet name="Look-up Tables" sheetId="3" r:id="rId3"/>
    <sheet name="Elkhorn" sheetId="4" r:id="rId4"/>
  </sheets>
  <definedNames>
    <definedName name="Acres">'Inputs'!$C$7</definedName>
    <definedName name="AIperA">'Inputs'!$C$8</definedName>
    <definedName name="AnnHours">'Inputs'!$C$9</definedName>
    <definedName name="BHP">'Inputs'!$E$10</definedName>
    <definedName name="DieselPrice">'Inputs'!$C$19</definedName>
    <definedName name="DriveEleMOilPrice">'Inputs'!$C$25</definedName>
    <definedName name="EngineOilPrice">'Inputs'!$C$24</definedName>
    <definedName name="GasolinePrice">'Inputs'!$C$23</definedName>
    <definedName name="GPM">'Inputs'!$C$6</definedName>
    <definedName name="Head">'Inputs'!$H$33</definedName>
    <definedName name="HP">'Elkhorn'!$D$7</definedName>
    <definedName name="kW">'Elkhorn'!$D$10</definedName>
    <definedName name="Lift">'Inputs'!$C$10</definedName>
    <definedName name="NamePlateHP">'Inputs'!$C$13</definedName>
    <definedName name="NaturalGasPrice">'Inputs'!$C$20</definedName>
    <definedName name="NC">'Inputs'!$A$41</definedName>
    <definedName name="NPHP">'Elkhorn'!$F$7</definedName>
    <definedName name="NumberOptions">'Inputs'!$D$3</definedName>
    <definedName name="O10UP">'Elkhorn'!#REF!</definedName>
    <definedName name="O10UPHP">'Elkhorn'!#REF!</definedName>
    <definedName name="O1UP">'Elkhorn'!$D$12</definedName>
    <definedName name="O1UPHP">'Elkhorn'!$F$12</definedName>
    <definedName name="O2UP">'Elkhorn'!$D$32</definedName>
    <definedName name="O2UPHP">'Elkhorn'!$F$32</definedName>
    <definedName name="O3UP">'Elkhorn'!$D$52</definedName>
    <definedName name="O3UPHP">'Elkhorn'!$F$52</definedName>
    <definedName name="O4UP">'Elkhorn'!$D$72</definedName>
    <definedName name="O4UPHP">'Elkhorn'!$F$72</definedName>
    <definedName name="O5UP">'Elkhorn'!$D$92</definedName>
    <definedName name="O5UPHP">'Elkhorn'!$F$92</definedName>
    <definedName name="O6UP">'Elkhorn'!$D$112</definedName>
    <definedName name="O6UPHP">'Elkhorn'!$F$112</definedName>
    <definedName name="O7UP">'Elkhorn'!$D$132</definedName>
    <definedName name="O7UPHP">'Elkhorn'!$F$132</definedName>
    <definedName name="O8UP">'Elkhorn'!#REF!</definedName>
    <definedName name="O8UPHP">'Elkhorn'!#REF!</definedName>
    <definedName name="O9UP">'Elkhorn'!#REF!</definedName>
    <definedName name="O9UPHP">'Elkhorn'!#REF!</definedName>
    <definedName name="Option1">'Elkhorn'!$B$8</definedName>
    <definedName name="Option10">'Elkhorn'!#REF!</definedName>
    <definedName name="Option10Ttl">'Elkhorn'!#REF!</definedName>
    <definedName name="Option10TtlHP">'Elkhorn'!#REF!</definedName>
    <definedName name="Option1Ttl">'Elkhorn'!$D$24</definedName>
    <definedName name="Option1TtlHP">'Elkhorn'!$F$24</definedName>
    <definedName name="Option2">'Elkhorn'!$B$28</definedName>
    <definedName name="Option2Ttl">'Elkhorn'!$D$44</definedName>
    <definedName name="Option2TtlHP">'Elkhorn'!$F$44</definedName>
    <definedName name="Option3">'Elkhorn'!$B$48</definedName>
    <definedName name="Option3Ttl">'Elkhorn'!$D$64</definedName>
    <definedName name="Option3TtlHP">'Elkhorn'!$F$64</definedName>
    <definedName name="Option4">'Elkhorn'!$B$68</definedName>
    <definedName name="Option4Ttl">'Elkhorn'!$D$84</definedName>
    <definedName name="Option4TtlHP">'Elkhorn'!$F$84</definedName>
    <definedName name="Option5">'Elkhorn'!$B$88</definedName>
    <definedName name="Option5Ttl">'Elkhorn'!$D$104</definedName>
    <definedName name="Option5TtlHP">'Elkhorn'!$F$104</definedName>
    <definedName name="Option6">'Elkhorn'!$B$108</definedName>
    <definedName name="Option6Ttl">'Elkhorn'!$D$124</definedName>
    <definedName name="Option6TtlHP">'Elkhorn'!$F$124</definedName>
    <definedName name="Option7">'Elkhorn'!$B$128</definedName>
    <definedName name="Option7Ttl">'Elkhorn'!$D$140</definedName>
    <definedName name="Option7TtlHP">'Elkhorn'!$F$140</definedName>
    <definedName name="Option8">'Elkhorn'!#REF!</definedName>
    <definedName name="Option8Ttl">'Elkhorn'!#REF!</definedName>
    <definedName name="Option8TtlHP">'Elkhorn'!#REF!</definedName>
    <definedName name="Option9">'Elkhorn'!#REF!</definedName>
    <definedName name="Option9Ttl">'Elkhorn'!#REF!</definedName>
    <definedName name="Option9TtlHP">'Elkhorn'!#REF!</definedName>
    <definedName name="OptionCount">'Elkhorn'!$B$5</definedName>
    <definedName name="_xlnm.Print_Area" localSheetId="3">'Elkhorn'!$A$1:$E$142</definedName>
    <definedName name="_xlnm.Print_Area" localSheetId="0">'Inputs'!$A$1:$K$66</definedName>
    <definedName name="PropanePrice">'Inputs'!$C$21</definedName>
    <definedName name="PSI">'Inputs'!$C$11</definedName>
    <definedName name="TC">'Inputs'!$A$43</definedName>
    <definedName name="Towers">'Inputs'!$C$12</definedName>
    <definedName name="TtlHours">'Elkhorn'!$D$9</definedName>
    <definedName name="UnitPrice">'Inputs'!$B$41</definedName>
    <definedName name="WHP">'Inputs'!$J$33</definedName>
    <definedName name="WSName">'Elkhorn'!$A$1</definedName>
  </definedNames>
  <calcPr fullCalcOnLoad="1"/>
</workbook>
</file>

<file path=xl/sharedStrings.xml><?xml version="1.0" encoding="utf-8"?>
<sst xmlns="http://schemas.openxmlformats.org/spreadsheetml/2006/main" count="276" uniqueCount="143">
  <si>
    <t>Inputs</t>
  </si>
  <si>
    <t>Pumping Rate</t>
  </si>
  <si>
    <t>Acres</t>
  </si>
  <si>
    <t>Lift</t>
  </si>
  <si>
    <t>Pressure</t>
  </si>
  <si>
    <t>Hours Pumped</t>
  </si>
  <si>
    <t>Engine Oil</t>
  </si>
  <si>
    <t>GPM</t>
  </si>
  <si>
    <t>Distribution System</t>
  </si>
  <si>
    <t>Fuel Tank</t>
  </si>
  <si>
    <t>Bowls</t>
  </si>
  <si>
    <t>1st Bowl</t>
  </si>
  <si>
    <t>other bowls</t>
  </si>
  <si>
    <t>Gearhead, Drive Shaft</t>
  </si>
  <si>
    <t>BHP</t>
  </si>
  <si>
    <t>$</t>
  </si>
  <si>
    <t>Pump Base, Engine Stand</t>
  </si>
  <si>
    <t>gpm</t>
  </si>
  <si>
    <t>Electric Switches</t>
  </si>
  <si>
    <t>Electric Service</t>
  </si>
  <si>
    <t>Pivot Charge</t>
  </si>
  <si>
    <t>Diesel Engine</t>
  </si>
  <si>
    <t>Natural Gas Engine</t>
  </si>
  <si>
    <t>Propane Engine</t>
  </si>
  <si>
    <t>Electric Engine</t>
  </si>
  <si>
    <t>Gas Engine</t>
  </si>
  <si>
    <t>Fuel Usage</t>
  </si>
  <si>
    <t>Head</t>
  </si>
  <si>
    <t>WHP</t>
  </si>
  <si>
    <t>Equations</t>
  </si>
  <si>
    <t>Diesel</t>
  </si>
  <si>
    <t>Propane</t>
  </si>
  <si>
    <t>/well</t>
  </si>
  <si>
    <t>Gasoline</t>
  </si>
  <si>
    <t>Generator mount</t>
  </si>
  <si>
    <t>Generator</t>
  </si>
  <si>
    <t>1=Center Pivot, 2=other</t>
  </si>
  <si>
    <t>Water applied per acre</t>
  </si>
  <si>
    <t>Annual Pumping</t>
  </si>
  <si>
    <t>Pounds per Square Inch (PSI)</t>
  </si>
  <si>
    <t>(0 if not center pivot)</t>
  </si>
  <si>
    <t xml:space="preserve">Repair </t>
  </si>
  <si>
    <t>Wage/hr</t>
  </si>
  <si>
    <t>Annual</t>
  </si>
  <si>
    <t>$/gal</t>
  </si>
  <si>
    <t>Connect</t>
  </si>
  <si>
    <t>Charge</t>
  </si>
  <si>
    <t>Pumping Rate GPM</t>
  </si>
  <si>
    <t>Lift(ft)</t>
  </si>
  <si>
    <t>Pressure PSI</t>
  </si>
  <si>
    <t>Head(ft)</t>
  </si>
  <si>
    <t>Towers</t>
  </si>
  <si>
    <t>Energy Source</t>
  </si>
  <si>
    <t>Annual Energy Cost</t>
  </si>
  <si>
    <t>Total Annual Operating Cost</t>
  </si>
  <si>
    <t>gal</t>
  </si>
  <si>
    <t>MCF</t>
  </si>
  <si>
    <t>If pivot, number of Towers</t>
  </si>
  <si>
    <t>Source</t>
  </si>
  <si>
    <t>Unit</t>
  </si>
  <si>
    <t>Repair labor hrs/1,000 hrs</t>
  </si>
  <si>
    <t>Energy   whp-hrs/unit</t>
  </si>
  <si>
    <t>Stand</t>
  </si>
  <si>
    <t>Gallons per Minute (GPM)</t>
  </si>
  <si>
    <t>Drive and Elec MotorOil</t>
  </si>
  <si>
    <t>$/unit</t>
  </si>
  <si>
    <t>Fuel, Oil, Repairs</t>
  </si>
  <si>
    <t>Parts $/1000 hrs</t>
  </si>
  <si>
    <t>Engine oil gal/1,000 hrs</t>
  </si>
  <si>
    <t>Drip or motor oil gal/1,000 hrs</t>
  </si>
  <si>
    <t>Annual Repair Cost**</t>
  </si>
  <si>
    <t>Energy Use/hr*</t>
  </si>
  <si>
    <t>Table 1: Annual Energy and Repair Cost Comparison for Different Energy Sources</t>
  </si>
  <si>
    <t>Power Operating Costs</t>
  </si>
  <si>
    <t>(Head * GPM / 3960) + 0.3 * Towers</t>
  </si>
  <si>
    <t>Lift + 2.31 * PSI</t>
  </si>
  <si>
    <t>Area irrigated/well</t>
  </si>
  <si>
    <t>KWH</t>
  </si>
  <si>
    <t>Currency</t>
  </si>
  <si>
    <t>Acre-Inches Applied per Acre * Acres * 27,154 gal/acre-inch / GPM * 60</t>
  </si>
  <si>
    <t>WHP / whp-hrs/unit / Nebraska Performance Criteria %</t>
  </si>
  <si>
    <t>Acre-inches/acre (Ac-In/ac)</t>
  </si>
  <si>
    <t>Hours ( Revise Acres, Ac-In/acre or GPM to adjust annual pumping hours)</t>
  </si>
  <si>
    <t>Acre-Inches Pumped Ac-In/acre</t>
  </si>
  <si>
    <t>Electric</t>
  </si>
  <si>
    <t>Drive and Pump Efficiency %***</t>
  </si>
  <si>
    <t>Name Plate HP</t>
  </si>
  <si>
    <t>**Repair Costs include repair labor, engine oil, and motor/drive oil.</t>
  </si>
  <si>
    <t>Number of Options</t>
  </si>
  <si>
    <t>kW Installation</t>
  </si>
  <si>
    <t>HP Installation</t>
  </si>
  <si>
    <t>Option 1</t>
  </si>
  <si>
    <t>Total hrs. of Operation</t>
  </si>
  <si>
    <t>kW</t>
  </si>
  <si>
    <t>kWh per season</t>
  </si>
  <si>
    <t>Rate Blocks</t>
  </si>
  <si>
    <t>Cost @</t>
  </si>
  <si>
    <t>Total Energy Charge</t>
  </si>
  <si>
    <t>Option 2</t>
  </si>
  <si>
    <t>Option 3</t>
  </si>
  <si>
    <t>Option 4</t>
  </si>
  <si>
    <t>Option 5</t>
  </si>
  <si>
    <t>Option 6</t>
  </si>
  <si>
    <t>Option 7</t>
  </si>
  <si>
    <t>See Below</t>
  </si>
  <si>
    <t>Electric Options</t>
  </si>
  <si>
    <t xml:space="preserve">ft   </t>
  </si>
  <si>
    <t>All kWh</t>
  </si>
  <si>
    <t>Calculated System HP</t>
  </si>
  <si>
    <t>Elkhorn Rural Public Power District</t>
  </si>
  <si>
    <t>Full Time - Pumping</t>
  </si>
  <si>
    <t>4-Hour Control</t>
  </si>
  <si>
    <t>6-Hour Control</t>
  </si>
  <si>
    <t>8-Hour Control</t>
  </si>
  <si>
    <t>10-Hour Control</t>
  </si>
  <si>
    <t>12-Hour Control</t>
  </si>
  <si>
    <t>Total Annual Prepayment Charge</t>
  </si>
  <si>
    <t>Excess kWh</t>
  </si>
  <si>
    <t>Natural Gas</t>
  </si>
  <si>
    <t>If Nameplate HP is not entered, HP will be calculated from kW requirements.</t>
  </si>
  <si>
    <t>Customer Name</t>
  </si>
  <si>
    <t>Acct./Meter No.</t>
  </si>
  <si>
    <t>Date</t>
  </si>
  <si>
    <t>kWh</t>
  </si>
  <si>
    <t>gallons</t>
  </si>
  <si>
    <t>therms</t>
  </si>
  <si>
    <t xml:space="preserve">Total Annual Fuel / Energy </t>
  </si>
  <si>
    <t>Units</t>
  </si>
  <si>
    <t>Overall Plant Effiency (OPE) %</t>
  </si>
  <si>
    <t>Average kWh Price</t>
  </si>
  <si>
    <t>(An OPE of 82% is equivalent to 100% of Nebraska Pumping Plant Performance Citeria</t>
  </si>
  <si>
    <t>and indicates optimal performance. Adjust to reflect actual OPE.)</t>
  </si>
  <si>
    <t>Daily Control (9 am - 11 pm)</t>
  </si>
  <si>
    <t>First 35,000 kWh</t>
  </si>
  <si>
    <t>Demand Charge per kW</t>
  </si>
  <si>
    <t>Total Demand Charge</t>
  </si>
  <si>
    <t>Total Annual Charges</t>
  </si>
  <si>
    <t>Prepayment per Nameplate HP</t>
  </si>
  <si>
    <t>Facilities Charge</t>
  </si>
  <si>
    <t>Facility &amp; Demand Charges</t>
  </si>
  <si>
    <t>Average Unit Price</t>
  </si>
  <si>
    <t>[(Head * GPM / 3960 / Drive and Pump Efficiency %) + 1.5 * Towers] + 15% for fossil fuels</t>
  </si>
  <si>
    <t>*Energy Use assumes 100% of Nebraska Pumping Plant Performance Criteria unless OPE is entered.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</si>
</sst>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\ ;\(&quot;$&quot;#,##0.000\)"/>
    <numFmt numFmtId="165" formatCode=";;;"/>
    <numFmt numFmtId="166" formatCode="0.0"/>
    <numFmt numFmtId="167" formatCode="0.000"/>
    <numFmt numFmtId="168" formatCode="&quot;$&quot;#,##0.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&quot;$&quot;#,##0.000"/>
    <numFmt numFmtId="175" formatCode="&quot;$&quot;#,##0"/>
    <numFmt numFmtId="176" formatCode="&quot;$&quot;#,##0.0"/>
    <numFmt numFmtId="177" formatCode="_(&quot;$&quot;* #,##0.0000_);_(&quot;$&quot;* \(#,##0.0000\);_(&quot;$&quot;* &quot;-&quot;????_);_(@_)"/>
    <numFmt numFmtId="178" formatCode="&quot;$&quot;#,##0.0000"/>
    <numFmt numFmtId="179" formatCode="#,##0.0"/>
    <numFmt numFmtId="180" formatCode="#,##0.000"/>
    <numFmt numFmtId="181" formatCode="&quot;$&quot;#,##0.0000_);\(&quot;$&quot;#,##0.000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&quot;$&quot;#,##0.0000_);[Red]\(&quot;$&quot;#,##0.0000\)"/>
    <numFmt numFmtId="186" formatCode="&quot;$&quot;#,##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00"/>
    <numFmt numFmtId="191" formatCode="#,##0.0000_);\(#,##0.0000\)"/>
    <numFmt numFmtId="192" formatCode="[$€-2]\ #,##0.00_);[Red]\([$€-2]\ #,##0.00\)"/>
    <numFmt numFmtId="193" formatCode="#,##0.000_);\(#,##0.000\)"/>
    <numFmt numFmtId="194" formatCode="#,##0.00000_);\(#,##0.00000\)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1"/>
      <color indexed="2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.5"/>
      <color indexed="8"/>
      <name val="Arial"/>
      <family val="0"/>
    </font>
    <font>
      <sz val="10.5"/>
      <color indexed="9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168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175" fontId="0" fillId="0" borderId="11" xfId="0" applyNumberForma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175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 quotePrefix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 quotePrefix="1">
      <alignment horizontal="left"/>
      <protection hidden="1"/>
    </xf>
    <xf numFmtId="0" fontId="0" fillId="0" borderId="0" xfId="0" applyFill="1" applyBorder="1" applyAlignment="1" applyProtection="1">
      <alignment horizontal="right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 quotePrefix="1">
      <alignment horizontal="left"/>
      <protection hidden="1"/>
    </xf>
    <xf numFmtId="0" fontId="0" fillId="0" borderId="0" xfId="0" applyFill="1" applyAlignment="1" applyProtection="1" quotePrefix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5" xfId="0" applyFont="1" applyFill="1" applyBorder="1" applyAlignment="1" applyProtection="1" quotePrefix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8" fontId="2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 quotePrefix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3" fontId="0" fillId="0" borderId="17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166" fontId="0" fillId="0" borderId="18" xfId="0" applyNumberFormat="1" applyFont="1" applyFill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168" fontId="0" fillId="0" borderId="19" xfId="0" applyNumberFormat="1" applyFont="1" applyFill="1" applyBorder="1" applyAlignment="1" applyProtection="1">
      <alignment horizontal="right"/>
      <protection hidden="1"/>
    </xf>
    <xf numFmtId="0" fontId="0" fillId="0" borderId="20" xfId="0" applyFont="1" applyFill="1" applyBorder="1" applyAlignment="1" applyProtection="1">
      <alignment horizontal="left"/>
      <protection hidden="1"/>
    </xf>
    <xf numFmtId="166" fontId="0" fillId="0" borderId="16" xfId="0" applyNumberFormat="1" applyFill="1" applyBorder="1" applyAlignment="1" applyProtection="1">
      <alignment horizontal="center"/>
      <protection hidden="1"/>
    </xf>
    <xf numFmtId="175" fontId="0" fillId="0" borderId="16" xfId="0" applyNumberFormat="1" applyFill="1" applyBorder="1" applyAlignment="1" applyProtection="1">
      <alignment horizontal="right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3" fontId="0" fillId="0" borderId="16" xfId="0" applyNumberFormat="1" applyFill="1" applyBorder="1" applyAlignment="1" applyProtection="1">
      <alignment horizontal="center"/>
      <protection hidden="1"/>
    </xf>
    <xf numFmtId="175" fontId="0" fillId="0" borderId="21" xfId="0" applyNumberFormat="1" applyFill="1" applyBorder="1" applyAlignment="1" applyProtection="1">
      <alignment horizontal="right"/>
      <protection hidden="1"/>
    </xf>
    <xf numFmtId="175" fontId="0" fillId="0" borderId="0" xfId="0" applyNumberFormat="1" applyFill="1" applyBorder="1" applyAlignment="1" applyProtection="1">
      <alignment horizontal="right"/>
      <protection hidden="1"/>
    </xf>
    <xf numFmtId="168" fontId="0" fillId="0" borderId="14" xfId="0" applyNumberFormat="1" applyFont="1" applyFill="1" applyBorder="1" applyAlignment="1" applyProtection="1">
      <alignment horizontal="right"/>
      <protection hidden="1"/>
    </xf>
    <xf numFmtId="0" fontId="0" fillId="0" borderId="22" xfId="0" applyFont="1" applyFill="1" applyBorder="1" applyAlignment="1" applyProtection="1">
      <alignment horizontal="left"/>
      <protection hidden="1"/>
    </xf>
    <xf numFmtId="175" fontId="0" fillId="0" borderId="23" xfId="0" applyNumberFormat="1" applyFill="1" applyBorder="1" applyAlignment="1" applyProtection="1">
      <alignment horizontal="right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 horizontal="left"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 quotePrefix="1">
      <alignment horizontal="left"/>
      <protection hidden="1"/>
    </xf>
    <xf numFmtId="0" fontId="0" fillId="0" borderId="10" xfId="0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left" wrapText="1"/>
      <protection hidden="1"/>
    </xf>
    <xf numFmtId="0" fontId="0" fillId="0" borderId="16" xfId="0" applyFill="1" applyBorder="1" applyAlignment="1" applyProtection="1">
      <alignment wrapText="1"/>
      <protection hidden="1"/>
    </xf>
    <xf numFmtId="0" fontId="0" fillId="0" borderId="12" xfId="0" applyFill="1" applyBorder="1" applyAlignment="1" applyProtection="1">
      <alignment horizontal="left" wrapText="1"/>
      <protection hidden="1"/>
    </xf>
    <xf numFmtId="0" fontId="0" fillId="0" borderId="26" xfId="0" applyFont="1" applyFill="1" applyBorder="1" applyAlignment="1" applyProtection="1">
      <alignment/>
      <protection hidden="1"/>
    </xf>
    <xf numFmtId="175" fontId="0" fillId="0" borderId="27" xfId="0" applyNumberForma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2" fontId="0" fillId="0" borderId="27" xfId="0" applyNumberFormat="1" applyFill="1" applyBorder="1" applyAlignment="1" applyProtection="1">
      <alignment horizontal="center"/>
      <protection hidden="1"/>
    </xf>
    <xf numFmtId="3" fontId="0" fillId="0" borderId="27" xfId="0" applyNumberFormat="1" applyFill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/>
      <protection hidden="1"/>
    </xf>
    <xf numFmtId="175" fontId="0" fillId="0" borderId="0" xfId="0" applyNumberFormat="1" applyFill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175" fontId="0" fillId="0" borderId="0" xfId="0" applyNumberFormat="1" applyFill="1" applyAlignment="1" applyProtection="1" quotePrefix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8" fontId="2" fillId="0" borderId="15" xfId="0" applyNumberFormat="1" applyFont="1" applyFill="1" applyBorder="1" applyAlignment="1" applyProtection="1">
      <alignment horizontal="center"/>
      <protection hidden="1" locked="0"/>
    </xf>
    <xf numFmtId="168" fontId="2" fillId="0" borderId="22" xfId="0" applyNumberFormat="1" applyFont="1" applyFill="1" applyBorder="1" applyAlignment="1" applyProtection="1">
      <alignment horizontal="center"/>
      <protection hidden="1" locked="0"/>
    </xf>
    <xf numFmtId="175" fontId="2" fillId="0" borderId="22" xfId="0" applyNumberFormat="1" applyFont="1" applyFill="1" applyBorder="1" applyAlignment="1" applyProtection="1">
      <alignment horizontal="right"/>
      <protection hidden="1" locked="0"/>
    </xf>
    <xf numFmtId="168" fontId="2" fillId="0" borderId="17" xfId="0" applyNumberFormat="1" applyFont="1" applyFill="1" applyBorder="1" applyAlignment="1" applyProtection="1">
      <alignment horizontal="center"/>
      <protection hidden="1" locked="0"/>
    </xf>
    <xf numFmtId="0" fontId="8" fillId="33" borderId="0" xfId="0" applyFont="1" applyFill="1" applyAlignment="1" applyProtection="1">
      <alignment/>
      <protection hidden="1"/>
    </xf>
    <xf numFmtId="190" fontId="0" fillId="33" borderId="14" xfId="0" applyNumberFormat="1" applyFont="1" applyFill="1" applyBorder="1" applyAlignment="1" applyProtection="1">
      <alignment horizontal="right"/>
      <protection hidden="1"/>
    </xf>
    <xf numFmtId="0" fontId="0" fillId="33" borderId="22" xfId="0" applyFont="1" applyFill="1" applyBorder="1" applyAlignment="1" applyProtection="1">
      <alignment horizontal="left"/>
      <protection hidden="1"/>
    </xf>
    <xf numFmtId="2" fontId="0" fillId="33" borderId="16" xfId="0" applyNumberFormat="1" applyFill="1" applyBorder="1" applyAlignment="1" applyProtection="1">
      <alignment horizontal="center"/>
      <protection hidden="1"/>
    </xf>
    <xf numFmtId="175" fontId="0" fillId="33" borderId="16" xfId="0" applyNumberFormat="1" applyFill="1" applyBorder="1" applyAlignment="1" applyProtection="1">
      <alignment horizontal="right"/>
      <protection hidden="1"/>
    </xf>
    <xf numFmtId="0" fontId="0" fillId="33" borderId="16" xfId="0" applyNumberFormat="1" applyFill="1" applyBorder="1" applyAlignment="1" applyProtection="1">
      <alignment horizontal="center"/>
      <protection hidden="1"/>
    </xf>
    <xf numFmtId="175" fontId="0" fillId="33" borderId="23" xfId="0" applyNumberFormat="1" applyFill="1" applyBorder="1" applyAlignment="1" applyProtection="1">
      <alignment horizontal="right"/>
      <protection hidden="1"/>
    </xf>
    <xf numFmtId="175" fontId="0" fillId="33" borderId="0" xfId="0" applyNumberFormat="1" applyFill="1" applyBorder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 vertical="top"/>
      <protection hidden="1"/>
    </xf>
    <xf numFmtId="0" fontId="8" fillId="0" borderId="0" xfId="0" applyFont="1" applyFill="1" applyAlignment="1" applyProtection="1">
      <alignment/>
      <protection hidden="1"/>
    </xf>
    <xf numFmtId="168" fontId="2" fillId="0" borderId="13" xfId="0" applyNumberFormat="1" applyFont="1" applyFill="1" applyBorder="1" applyAlignment="1" applyProtection="1">
      <alignment horizontal="center"/>
      <protection hidden="1" locked="0"/>
    </xf>
    <xf numFmtId="0" fontId="0" fillId="33" borderId="0" xfId="0" applyFill="1" applyBorder="1" applyAlignment="1" applyProtection="1">
      <alignment horizontal="center"/>
      <protection hidden="1"/>
    </xf>
    <xf numFmtId="190" fontId="0" fillId="33" borderId="0" xfId="0" applyNumberFormat="1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0" fontId="0" fillId="33" borderId="0" xfId="0" applyNumberFormat="1" applyFill="1" applyBorder="1" applyAlignment="1" applyProtection="1">
      <alignment horizontal="center"/>
      <protection hidden="1"/>
    </xf>
    <xf numFmtId="3" fontId="0" fillId="33" borderId="0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shrinkToFit="1"/>
      <protection hidden="1"/>
    </xf>
    <xf numFmtId="0" fontId="0" fillId="0" borderId="18" xfId="0" applyFill="1" applyBorder="1" applyAlignment="1" applyProtection="1">
      <alignment horizontal="center" shrinkToFit="1"/>
      <protection hidden="1"/>
    </xf>
    <xf numFmtId="0" fontId="0" fillId="0" borderId="23" xfId="0" applyFill="1" applyBorder="1" applyAlignment="1" applyProtection="1">
      <alignment horizontal="center" shrinkToFit="1"/>
      <protection hidden="1"/>
    </xf>
    <xf numFmtId="0" fontId="0" fillId="0" borderId="12" xfId="0" applyFill="1" applyBorder="1" applyAlignment="1" applyProtection="1">
      <alignment horizontal="center" shrinkToFit="1"/>
      <protection hidden="1"/>
    </xf>
    <xf numFmtId="0" fontId="0" fillId="33" borderId="16" xfId="0" applyFill="1" applyBorder="1" applyAlignment="1" applyProtection="1">
      <alignment horizontal="center" shrinkToFit="1"/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185" fontId="0" fillId="0" borderId="0" xfId="0" applyNumberFormat="1" applyAlignment="1" applyProtection="1">
      <alignment horizontal="right"/>
      <protection/>
    </xf>
    <xf numFmtId="185" fontId="0" fillId="0" borderId="0" xfId="0" applyNumberFormat="1" applyFill="1" applyAlignment="1" applyProtection="1">
      <alignment horizontal="right"/>
      <protection/>
    </xf>
    <xf numFmtId="3" fontId="0" fillId="0" borderId="0" xfId="0" applyNumberFormat="1" applyFill="1" applyAlignment="1" applyProtection="1">
      <alignment horizontal="right"/>
      <protection/>
    </xf>
    <xf numFmtId="44" fontId="0" fillId="0" borderId="0" xfId="44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8" fontId="0" fillId="0" borderId="0" xfId="44" applyNumberForma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78" fontId="2" fillId="0" borderId="0" xfId="0" applyNumberFormat="1" applyFont="1" applyFill="1" applyAlignment="1" applyProtection="1">
      <alignment shrinkToFit="1"/>
      <protection hidden="1"/>
    </xf>
    <xf numFmtId="0" fontId="2" fillId="33" borderId="16" xfId="0" applyNumberFormat="1" applyFont="1" applyFill="1" applyBorder="1" applyAlignment="1" applyProtection="1">
      <alignment horizontal="center"/>
      <protection hidden="1" locked="0"/>
    </xf>
    <xf numFmtId="178" fontId="0" fillId="0" borderId="15" xfId="0" applyNumberFormat="1" applyFont="1" applyFill="1" applyBorder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166" fontId="0" fillId="0" borderId="15" xfId="0" applyNumberFormat="1" applyFill="1" applyBorder="1" applyAlignment="1" applyProtection="1">
      <alignment horizontal="center"/>
      <protection hidden="1"/>
    </xf>
    <xf numFmtId="175" fontId="0" fillId="0" borderId="15" xfId="0" applyNumberFormat="1" applyFill="1" applyBorder="1" applyAlignment="1" applyProtection="1">
      <alignment horizontal="right"/>
      <protection hidden="1"/>
    </xf>
    <xf numFmtId="0" fontId="0" fillId="33" borderId="15" xfId="0" applyNumberFormat="1" applyFill="1" applyBorder="1" applyAlignment="1" applyProtection="1">
      <alignment horizontal="center"/>
      <protection hidden="1"/>
    </xf>
    <xf numFmtId="3" fontId="0" fillId="33" borderId="15" xfId="0" applyNumberFormat="1" applyFill="1" applyBorder="1" applyAlignment="1" applyProtection="1">
      <alignment horizontal="center"/>
      <protection hidden="1"/>
    </xf>
    <xf numFmtId="175" fontId="0" fillId="33" borderId="15" xfId="0" applyNumberFormat="1" applyFill="1" applyBorder="1" applyAlignment="1" applyProtection="1">
      <alignment horizontal="right"/>
      <protection hidden="1"/>
    </xf>
    <xf numFmtId="0" fontId="1" fillId="34" borderId="0" xfId="0" applyFont="1" applyFill="1" applyAlignment="1">
      <alignment horizontal="left"/>
    </xf>
    <xf numFmtId="0" fontId="2" fillId="0" borderId="23" xfId="0" applyFont="1" applyFill="1" applyBorder="1" applyAlignment="1" applyProtection="1">
      <alignment horizontal="center"/>
      <protection hidden="1" locked="0"/>
    </xf>
    <xf numFmtId="3" fontId="2" fillId="0" borderId="23" xfId="0" applyNumberFormat="1" applyFont="1" applyFill="1" applyBorder="1" applyAlignment="1" applyProtection="1">
      <alignment horizontal="center"/>
      <protection hidden="1" locked="0"/>
    </xf>
    <xf numFmtId="166" fontId="2" fillId="0" borderId="23" xfId="0" applyNumberFormat="1" applyFont="1" applyFill="1" applyBorder="1" applyAlignment="1" applyProtection="1">
      <alignment horizontal="center"/>
      <protection hidden="1" locked="0"/>
    </xf>
    <xf numFmtId="3" fontId="0" fillId="0" borderId="23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 locked="0"/>
    </xf>
    <xf numFmtId="14" fontId="2" fillId="0" borderId="10" xfId="0" applyNumberFormat="1" applyFont="1" applyFill="1" applyBorder="1" applyAlignment="1" applyProtection="1">
      <alignment horizontal="left"/>
      <protection hidden="1" locked="0"/>
    </xf>
    <xf numFmtId="9" fontId="2" fillId="0" borderId="23" xfId="0" applyNumberFormat="1" applyFont="1" applyFill="1" applyBorder="1" applyAlignment="1" applyProtection="1">
      <alignment horizontal="center"/>
      <protection hidden="1" locked="0"/>
    </xf>
    <xf numFmtId="0" fontId="11" fillId="0" borderId="0" xfId="0" applyFont="1" applyFill="1" applyAlignment="1" applyProtection="1">
      <alignment horizontal="left"/>
      <protection hidden="1"/>
    </xf>
    <xf numFmtId="3" fontId="0" fillId="0" borderId="23" xfId="0" applyNumberFormat="1" applyFill="1" applyBorder="1" applyAlignment="1" applyProtection="1">
      <alignment horizontal="right"/>
      <protection hidden="1"/>
    </xf>
    <xf numFmtId="0" fontId="0" fillId="0" borderId="23" xfId="0" applyFill="1" applyBorder="1" applyAlignment="1" applyProtection="1">
      <alignment/>
      <protection hidden="1"/>
    </xf>
    <xf numFmtId="3" fontId="0" fillId="33" borderId="23" xfId="0" applyNumberFormat="1" applyFill="1" applyBorder="1" applyAlignment="1" applyProtection="1">
      <alignment horizontal="right"/>
      <protection hidden="1"/>
    </xf>
    <xf numFmtId="0" fontId="0" fillId="33" borderId="23" xfId="0" applyFill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54" fillId="0" borderId="0" xfId="0" applyFont="1" applyFill="1" applyAlignment="1" applyProtection="1">
      <alignment/>
      <protection/>
    </xf>
    <xf numFmtId="185" fontId="54" fillId="0" borderId="0" xfId="0" applyNumberFormat="1" applyFont="1" applyFill="1" applyAlignment="1" applyProtection="1">
      <alignment horizontal="right"/>
      <protection/>
    </xf>
    <xf numFmtId="185" fontId="54" fillId="0" borderId="0" xfId="0" applyNumberFormat="1" applyFont="1" applyAlignment="1" applyProtection="1">
      <alignment horizontal="right"/>
      <protection/>
    </xf>
    <xf numFmtId="185" fontId="0" fillId="0" borderId="0" xfId="0" applyNumberFormat="1" applyFont="1" applyAlignment="1" applyProtection="1">
      <alignment horizontal="right"/>
      <protection/>
    </xf>
    <xf numFmtId="0" fontId="54" fillId="0" borderId="0" xfId="0" applyFont="1" applyFill="1" applyBorder="1" applyAlignment="1" applyProtection="1">
      <alignment horizontal="right"/>
      <protection hidden="1"/>
    </xf>
    <xf numFmtId="0" fontId="54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68" fontId="2" fillId="0" borderId="11" xfId="0" applyNumberFormat="1" applyFont="1" applyFill="1" applyBorder="1" applyAlignment="1" applyProtection="1">
      <alignment horizontal="right"/>
      <protection hidden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2" fontId="55" fillId="0" borderId="0" xfId="0" applyNumberFormat="1" applyFont="1" applyAlignment="1" applyProtection="1">
      <alignment/>
      <protection/>
    </xf>
    <xf numFmtId="3" fontId="55" fillId="0" borderId="0" xfId="0" applyNumberFormat="1" applyFont="1" applyAlignment="1" applyProtection="1">
      <alignment/>
      <protection/>
    </xf>
    <xf numFmtId="177" fontId="55" fillId="34" borderId="0" xfId="0" applyNumberFormat="1" applyFont="1" applyFill="1" applyAlignment="1" applyProtection="1">
      <alignment horizontal="right"/>
      <protection/>
    </xf>
    <xf numFmtId="185" fontId="55" fillId="0" borderId="0" xfId="0" applyNumberFormat="1" applyFont="1" applyFill="1" applyAlignment="1" applyProtection="1">
      <alignment horizontal="right"/>
      <protection/>
    </xf>
    <xf numFmtId="3" fontId="55" fillId="0" borderId="0" xfId="0" applyNumberFormat="1" applyFont="1" applyFill="1" applyAlignment="1" applyProtection="1">
      <alignment horizontal="right"/>
      <protection/>
    </xf>
    <xf numFmtId="191" fontId="55" fillId="0" borderId="0" xfId="0" applyNumberFormat="1" applyFont="1" applyFill="1" applyAlignment="1" applyProtection="1">
      <alignment horizontal="right"/>
      <protection/>
    </xf>
    <xf numFmtId="44" fontId="55" fillId="0" borderId="0" xfId="0" applyNumberFormat="1" applyFont="1" applyFill="1" applyAlignment="1" applyProtection="1">
      <alignment horizontal="right"/>
      <protection/>
    </xf>
    <xf numFmtId="38" fontId="55" fillId="0" borderId="0" xfId="44" applyNumberFormat="1" applyFont="1" applyAlignment="1" applyProtection="1">
      <alignment/>
      <protection/>
    </xf>
    <xf numFmtId="184" fontId="55" fillId="0" borderId="0" xfId="44" applyNumberFormat="1" applyFont="1" applyAlignment="1" applyProtection="1">
      <alignment/>
      <protection/>
    </xf>
    <xf numFmtId="44" fontId="55" fillId="0" borderId="0" xfId="44" applyNumberFormat="1" applyFont="1" applyAlignment="1" applyProtection="1">
      <alignment/>
      <protection/>
    </xf>
    <xf numFmtId="44" fontId="55" fillId="0" borderId="0" xfId="44" applyNumberFormat="1" applyFont="1" applyFill="1" applyAlignment="1" applyProtection="1">
      <alignment/>
      <protection/>
    </xf>
    <xf numFmtId="44" fontId="55" fillId="0" borderId="0" xfId="0" applyNumberFormat="1" applyFont="1" applyFill="1" applyAlignment="1" applyProtection="1">
      <alignment/>
      <protection/>
    </xf>
    <xf numFmtId="184" fontId="55" fillId="0" borderId="0" xfId="0" applyNumberFormat="1" applyFont="1" applyAlignment="1" applyProtection="1">
      <alignment/>
      <protection/>
    </xf>
    <xf numFmtId="1" fontId="56" fillId="0" borderId="0" xfId="0" applyNumberFormat="1" applyFont="1" applyAlignment="1" applyProtection="1">
      <alignment/>
      <protection/>
    </xf>
    <xf numFmtId="194" fontId="55" fillId="0" borderId="0" xfId="0" applyNumberFormat="1" applyFont="1" applyFill="1" applyAlignment="1" applyProtection="1">
      <alignment horizontal="right"/>
      <protection/>
    </xf>
    <xf numFmtId="177" fontId="55" fillId="0" borderId="0" xfId="0" applyNumberFormat="1" applyFont="1" applyFill="1" applyAlignment="1" applyProtection="1">
      <alignment horizontal="right"/>
      <protection/>
    </xf>
    <xf numFmtId="0" fontId="55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horizontal="right"/>
      <protection/>
    </xf>
    <xf numFmtId="0" fontId="55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 hidden="1"/>
    </xf>
    <xf numFmtId="0" fontId="56" fillId="0" borderId="0" xfId="0" applyFont="1" applyFill="1" applyAlignment="1" applyProtection="1">
      <alignment/>
      <protection/>
    </xf>
    <xf numFmtId="2" fontId="55" fillId="0" borderId="0" xfId="0" applyNumberFormat="1" applyFont="1" applyFill="1" applyAlignment="1" applyProtection="1">
      <alignment/>
      <protection/>
    </xf>
    <xf numFmtId="3" fontId="55" fillId="0" borderId="0" xfId="0" applyNumberFormat="1" applyFont="1" applyFill="1" applyAlignment="1" applyProtection="1">
      <alignment/>
      <protection/>
    </xf>
    <xf numFmtId="184" fontId="55" fillId="0" borderId="0" xfId="0" applyNumberFormat="1" applyFont="1" applyFill="1" applyAlignment="1" applyProtection="1">
      <alignment/>
      <protection/>
    </xf>
    <xf numFmtId="44" fontId="55" fillId="0" borderId="0" xfId="44" applyFont="1" applyAlignment="1" applyProtection="1">
      <alignment/>
      <protection/>
    </xf>
    <xf numFmtId="44" fontId="55" fillId="0" borderId="0" xfId="0" applyNumberFormat="1" applyFont="1" applyAlignment="1" applyProtection="1">
      <alignment/>
      <protection/>
    </xf>
    <xf numFmtId="0" fontId="55" fillId="0" borderId="0" xfId="0" applyFont="1" applyFill="1" applyAlignment="1" applyProtection="1">
      <alignment horizontal="left"/>
      <protection hidden="1"/>
    </xf>
    <xf numFmtId="0" fontId="0" fillId="0" borderId="13" xfId="0" applyFill="1" applyBorder="1" applyAlignment="1" applyProtection="1" quotePrefix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 quotePrefix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shrinkToFit="1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3" fontId="0" fillId="0" borderId="29" xfId="0" applyNumberFormat="1" applyFill="1" applyBorder="1" applyAlignment="1" applyProtection="1">
      <alignment horizontal="right"/>
      <protection hidden="1"/>
    </xf>
    <xf numFmtId="0" fontId="0" fillId="0" borderId="29" xfId="0" applyFill="1" applyBorder="1" applyAlignment="1" applyProtection="1">
      <alignment/>
      <protection hidden="1"/>
    </xf>
    <xf numFmtId="3" fontId="0" fillId="0" borderId="15" xfId="0" applyNumberFormat="1" applyFill="1" applyBorder="1" applyAlignment="1" applyProtection="1">
      <alignment horizontal="right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0" fillId="0" borderId="13" xfId="0" applyFill="1" applyBorder="1" applyAlignment="1" applyProtection="1">
      <alignment/>
      <protection hidden="1"/>
    </xf>
    <xf numFmtId="0" fontId="57" fillId="0" borderId="0" xfId="0" applyFont="1" applyAlignment="1" applyProtection="1">
      <alignment horizontal="right"/>
      <protection/>
    </xf>
    <xf numFmtId="1" fontId="57" fillId="0" borderId="0" xfId="0" applyNumberFormat="1" applyFont="1" applyAlignment="1" applyProtection="1">
      <alignment/>
      <protection hidden="1"/>
    </xf>
    <xf numFmtId="0" fontId="57" fillId="0" borderId="0" xfId="0" applyFont="1" applyFill="1" applyAlignment="1" applyProtection="1">
      <alignment horizontal="right"/>
      <protection/>
    </xf>
    <xf numFmtId="0" fontId="57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/>
    </xf>
    <xf numFmtId="2" fontId="54" fillId="0" borderId="0" xfId="0" applyNumberFormat="1" applyFont="1" applyFill="1" applyAlignment="1" applyProtection="1">
      <alignment/>
      <protection/>
    </xf>
    <xf numFmtId="3" fontId="54" fillId="0" borderId="0" xfId="0" applyNumberFormat="1" applyFont="1" applyFill="1" applyAlignment="1" applyProtection="1">
      <alignment/>
      <protection/>
    </xf>
    <xf numFmtId="177" fontId="54" fillId="0" borderId="0" xfId="0" applyNumberFormat="1" applyFont="1" applyFill="1" applyAlignment="1" applyProtection="1">
      <alignment horizontal="right"/>
      <protection/>
    </xf>
    <xf numFmtId="3" fontId="54" fillId="0" borderId="0" xfId="0" applyNumberFormat="1" applyFont="1" applyFill="1" applyAlignment="1" applyProtection="1">
      <alignment horizontal="right"/>
      <protection/>
    </xf>
    <xf numFmtId="191" fontId="54" fillId="0" borderId="0" xfId="0" applyNumberFormat="1" applyFont="1" applyFill="1" applyAlignment="1" applyProtection="1">
      <alignment horizontal="right"/>
      <protection/>
    </xf>
    <xf numFmtId="44" fontId="54" fillId="0" borderId="0" xfId="0" applyNumberFormat="1" applyFont="1" applyFill="1" applyAlignment="1" applyProtection="1">
      <alignment horizontal="right"/>
      <protection/>
    </xf>
    <xf numFmtId="38" fontId="54" fillId="0" borderId="0" xfId="44" applyNumberFormat="1" applyFont="1" applyFill="1" applyAlignment="1" applyProtection="1">
      <alignment/>
      <protection/>
    </xf>
    <xf numFmtId="184" fontId="54" fillId="0" borderId="0" xfId="44" applyNumberFormat="1" applyFont="1" applyAlignment="1" applyProtection="1">
      <alignment/>
      <protection/>
    </xf>
    <xf numFmtId="44" fontId="54" fillId="0" borderId="0" xfId="44" applyNumberFormat="1" applyFont="1" applyFill="1" applyAlignment="1" applyProtection="1">
      <alignment/>
      <protection/>
    </xf>
    <xf numFmtId="44" fontId="54" fillId="0" borderId="0" xfId="44" applyNumberFormat="1" applyFont="1" applyAlignment="1" applyProtection="1">
      <alignment/>
      <protection/>
    </xf>
    <xf numFmtId="44" fontId="54" fillId="0" borderId="0" xfId="0" applyNumberFormat="1" applyFont="1" applyFill="1" applyAlignment="1" applyProtection="1">
      <alignment/>
      <protection/>
    </xf>
    <xf numFmtId="44" fontId="54" fillId="0" borderId="0" xfId="0" applyNumberFormat="1" applyFont="1" applyAlignment="1" applyProtection="1">
      <alignment/>
      <protection/>
    </xf>
    <xf numFmtId="184" fontId="54" fillId="0" borderId="0" xfId="44" applyNumberFormat="1" applyFont="1" applyFill="1" applyAlignment="1" applyProtection="1">
      <alignment/>
      <protection/>
    </xf>
    <xf numFmtId="194" fontId="54" fillId="0" borderId="0" xfId="0" applyNumberFormat="1" applyFont="1" applyFill="1" applyAlignment="1" applyProtection="1">
      <alignment horizontal="right"/>
      <protection/>
    </xf>
    <xf numFmtId="3" fontId="54" fillId="0" borderId="23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 horizontal="center" vertical="top"/>
      <protection hidden="1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12"/>
      </font>
    </dxf>
    <dxf>
      <font>
        <b val="0"/>
        <i val="0"/>
        <color indexed="10"/>
      </font>
    </dxf>
    <dxf>
      <font>
        <color indexed="12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Inputs!$G$10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09125"/>
          <c:w val="0.811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Inputs!$A$36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Inputs!$J$36</c:f>
              <c:numCache>
                <c:ptCount val="1"/>
                <c:pt idx="0">
                  <c:v>9247.8215</c:v>
                </c:pt>
              </c:numCache>
            </c:numRef>
          </c:val>
        </c:ser>
        <c:ser>
          <c:idx val="1"/>
          <c:order val="1"/>
          <c:tx>
            <c:strRef>
              <c:f>Inputs!$A$37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Inputs!$J$37</c:f>
              <c:numCache>
                <c:ptCount val="1"/>
                <c:pt idx="0">
                  <c:v>8127.261115478119</c:v>
                </c:pt>
              </c:numCache>
            </c:numRef>
          </c:val>
        </c:ser>
        <c:ser>
          <c:idx val="2"/>
          <c:order val="2"/>
          <c:tx>
            <c:strRef>
              <c:f>Inputs!$A$38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Inputs!$J$38</c:f>
              <c:numCache>
                <c:ptCount val="1"/>
                <c:pt idx="0">
                  <c:v>11201.715225326561</c:v>
                </c:pt>
              </c:numCache>
            </c:numRef>
          </c:val>
        </c:ser>
        <c:ser>
          <c:idx val="6"/>
          <c:order val="3"/>
          <c:tx>
            <c:strRef>
              <c:f>Inputs!$A$39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Inputs!$J$39</c:f>
              <c:numCache>
                <c:ptCount val="1"/>
                <c:pt idx="0">
                  <c:v>12166.286482101617</c:v>
                </c:pt>
              </c:numCache>
            </c:numRef>
          </c:val>
        </c:ser>
        <c:ser>
          <c:idx val="7"/>
          <c:order val="4"/>
          <c:tx>
            <c:strRef>
              <c:f>Inputs!$A$40</c:f>
              <c:strCache>
                <c:ptCount val="1"/>
                <c:pt idx="0">
                  <c:v>Electric Options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Inputs!$J$40</c:f>
              <c:numCache>
                <c:ptCount val="1"/>
              </c:numCache>
            </c:numRef>
          </c:val>
        </c:ser>
        <c:ser>
          <c:idx val="3"/>
          <c:order val="5"/>
          <c:tx>
            <c:strRef>
              <c:f>Inputs!$A$41</c:f>
              <c:strCache>
                <c:ptCount val="1"/>
                <c:pt idx="0">
                  <c:v>Full Time - Pumping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Inputs!$J$41</c:f>
              <c:numCache>
                <c:ptCount val="1"/>
                <c:pt idx="0">
                  <c:v>6470.683058305085</c:v>
                </c:pt>
              </c:numCache>
            </c:numRef>
          </c:val>
        </c:ser>
        <c:ser>
          <c:idx val="4"/>
          <c:order val="6"/>
          <c:tx>
            <c:strRef>
              <c:f>Inputs!$A$42</c:f>
              <c:strCache>
                <c:ptCount val="1"/>
                <c:pt idx="0">
                  <c:v>4-Hour Control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Inputs!$J$42</c:f>
              <c:numCache>
                <c:ptCount val="1"/>
                <c:pt idx="0">
                  <c:v>5400.179103502825</c:v>
                </c:pt>
              </c:numCache>
            </c:numRef>
          </c:val>
        </c:ser>
        <c:ser>
          <c:idx val="5"/>
          <c:order val="7"/>
          <c:tx>
            <c:strRef>
              <c:f>Inputs!$A$43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Inputs!$J$43</c:f>
              <c:numCache>
                <c:ptCount val="1"/>
                <c:pt idx="0">
                  <c:v>4993.526561129944</c:v>
                </c:pt>
              </c:numCache>
            </c:numRef>
          </c:val>
        </c:ser>
        <c:ser>
          <c:idx val="8"/>
          <c:order val="8"/>
          <c:tx>
            <c:strRef>
              <c:f>Inputs!$A$44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Inputs!$J$44</c:f>
            </c:numRef>
          </c:val>
        </c:ser>
        <c:ser>
          <c:idx val="9"/>
          <c:order val="9"/>
          <c:tx>
            <c:strRef>
              <c:f>Inputs!$A$45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Inputs!$J$45</c:f>
            </c:numRef>
          </c:val>
        </c:ser>
        <c:ser>
          <c:idx val="10"/>
          <c:order val="10"/>
          <c:tx>
            <c:strRef>
              <c:f>Inputs!$A$46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Inputs!$J$46</c:f>
            </c:numRef>
          </c:val>
        </c:ser>
        <c:ser>
          <c:idx val="11"/>
          <c:order val="11"/>
          <c:tx>
            <c:strRef>
              <c:f>Inputs!$A$47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Inputs!$J$47</c:f>
            </c:numRef>
          </c:val>
        </c:ser>
        <c:ser>
          <c:idx val="12"/>
          <c:order val="12"/>
          <c:tx>
            <c:strRef>
              <c:f>Inputs!$A$48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Inputs!$J$48</c:f>
            </c:numRef>
          </c:val>
        </c:ser>
        <c:ser>
          <c:idx val="13"/>
          <c:order val="13"/>
          <c:tx>
            <c:strRef>
              <c:f>Inputs!$A$49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Inputs!$J$49</c:f>
            </c:numRef>
          </c:val>
        </c:ser>
        <c:ser>
          <c:idx val="14"/>
          <c:order val="14"/>
          <c:tx>
            <c:strRef>
              <c:f>Inputs!$A$50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Inputs!$J$50</c:f>
            </c:numRef>
          </c:val>
        </c:ser>
        <c:ser>
          <c:idx val="15"/>
          <c:order val="15"/>
          <c:tx>
            <c:strRef>
              <c:f>Inputs!$A$51</c:f>
              <c:strCache>
                <c:ptCount val="1"/>
                <c:pt idx="0">
                  <c:v>8-Hour Control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Inputs!$J$51</c:f>
              <c:numCache>
                <c:ptCount val="1"/>
                <c:pt idx="0">
                  <c:v>4719.874018757062</c:v>
                </c:pt>
              </c:numCache>
            </c:numRef>
          </c:val>
        </c:ser>
        <c:ser>
          <c:idx val="16"/>
          <c:order val="16"/>
          <c:tx>
            <c:strRef>
              <c:f>Inputs!$A$52</c:f>
              <c:strCache>
                <c:ptCount val="1"/>
                <c:pt idx="0">
                  <c:v>10-Hour Control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Inputs!$J$52</c:f>
              <c:numCache>
                <c:ptCount val="1"/>
                <c:pt idx="0">
                  <c:v>4446.22147638418</c:v>
                </c:pt>
              </c:numCache>
            </c:numRef>
          </c:val>
        </c:ser>
        <c:ser>
          <c:idx val="17"/>
          <c:order val="17"/>
          <c:tx>
            <c:strRef>
              <c:f>Inputs!$A$53</c:f>
              <c:strCache>
                <c:ptCount val="1"/>
                <c:pt idx="0">
                  <c:v>12-Hour Control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Inputs!$J$53</c:f>
              <c:numCache>
                <c:ptCount val="1"/>
                <c:pt idx="0">
                  <c:v>3459.2017023728813</c:v>
                </c:pt>
              </c:numCache>
            </c:numRef>
          </c:val>
        </c:ser>
        <c:ser>
          <c:idx val="18"/>
          <c:order val="18"/>
          <c:tx>
            <c:strRef>
              <c:f>Inputs!$A$54</c:f>
              <c:strCache>
                <c:ptCount val="1"/>
                <c:pt idx="0">
                  <c:v>Daily Control (9 am - 11 pm)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Inputs!$J$54</c:f>
              <c:numCache>
                <c:ptCount val="1"/>
                <c:pt idx="0">
                  <c:v>2909.296730621469</c:v>
                </c:pt>
              </c:numCache>
            </c:numRef>
          </c:val>
        </c:ser>
        <c:gapWidth val="50"/>
        <c:axId val="61404248"/>
        <c:axId val="15767321"/>
      </c:barChart>
      <c:catAx>
        <c:axId val="6140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Options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Cost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133"/>
          <c:w val="0.1365"/>
          <c:h val="0.7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5"/>
  </sheetViews>
  <pageMargins left="0.5" right="0.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erppd@erppd.com" TargetMode="External" /><Relationship Id="rId3" Type="http://schemas.openxmlformats.org/officeDocument/2006/relationships/hyperlink" Target="mailto:erppd@erppd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17</xdr:row>
      <xdr:rowOff>19050</xdr:rowOff>
    </xdr:from>
    <xdr:to>
      <xdr:col>8</xdr:col>
      <xdr:colOff>419100</xdr:colOff>
      <xdr:row>24</xdr:row>
      <xdr:rowOff>114300</xdr:rowOff>
    </xdr:to>
    <xdr:pic>
      <xdr:nvPicPr>
        <xdr:cNvPr id="1" name="Picture 9" descr="[logo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371850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0.86975</cdr:x>
      <cdr:y>0</cdr:y>
    </cdr:from>
    <cdr:to>
      <cdr:x>0.97775</cdr:x>
      <cdr:y>0.1245</cdr:y>
    </cdr:to>
    <cdr:pic>
      <cdr:nvPicPr>
        <cdr:cNvPr id="1" name="Picture 4" descr="Elkhorn 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34325" y="0"/>
          <a:ext cx="981075" cy="847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6838950"/>
    <xdr:graphicFrame>
      <xdr:nvGraphicFramePr>
        <xdr:cNvPr id="1" name="Shape 1025"/>
        <xdr:cNvGraphicFramePr/>
      </xdr:nvGraphicFramePr>
      <xdr:xfrm>
        <a:off x="0" y="0"/>
        <a:ext cx="91249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4</xdr:col>
      <xdr:colOff>257175</xdr:colOff>
      <xdr:row>4</xdr:row>
      <xdr:rowOff>28575</xdr:rowOff>
    </xdr:to>
    <xdr:pic>
      <xdr:nvPicPr>
        <xdr:cNvPr id="1" name="Picture 5" descr="Elkhor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0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8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20.00390625" style="2" customWidth="1"/>
    <col min="2" max="2" width="8.57421875" style="2" customWidth="1"/>
    <col min="3" max="3" width="9.140625" style="2" customWidth="1"/>
    <col min="4" max="4" width="11.140625" style="2" customWidth="1"/>
    <col min="5" max="5" width="11.140625" style="2" bestFit="1" customWidth="1"/>
    <col min="6" max="6" width="11.28125" style="2" hidden="1" customWidth="1"/>
    <col min="7" max="7" width="9.57421875" style="2" customWidth="1"/>
    <col min="8" max="8" width="11.140625" style="2" customWidth="1"/>
    <col min="9" max="10" width="9.28125" style="2" bestFit="1" customWidth="1"/>
    <col min="11" max="12" width="9.140625" style="2" customWidth="1"/>
    <col min="13" max="13" width="7.8515625" style="2" customWidth="1"/>
    <col min="14" max="16384" width="9.140625" style="2" customWidth="1"/>
  </cols>
  <sheetData>
    <row r="1" spans="1:10" s="93" customFormat="1" ht="37.5" customHeight="1">
      <c r="A1" s="220" t="str">
        <f>WSName</f>
        <v>Elkhorn Rural Public Power District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93" customFormat="1" ht="37.5" customHeight="1">
      <c r="A2" s="137" t="s">
        <v>120</v>
      </c>
      <c r="B2" s="138"/>
      <c r="C2" s="138"/>
      <c r="D2" s="138"/>
      <c r="E2" s="137" t="s">
        <v>121</v>
      </c>
      <c r="F2" s="138"/>
      <c r="G2" s="138"/>
      <c r="H2" s="20" t="s">
        <v>122</v>
      </c>
      <c r="I2" s="139"/>
      <c r="J2" s="138"/>
    </row>
    <row r="3" spans="1:4" ht="15.75">
      <c r="A3" s="9" t="s">
        <v>0</v>
      </c>
      <c r="D3" s="94">
        <f>OptionCount</f>
        <v>7</v>
      </c>
    </row>
    <row r="4" ht="12.75">
      <c r="A4" s="10"/>
    </row>
    <row r="5" spans="1:4" ht="12.75">
      <c r="A5" s="10" t="s">
        <v>8</v>
      </c>
      <c r="C5" s="132">
        <v>1</v>
      </c>
      <c r="D5" s="11" t="s">
        <v>36</v>
      </c>
    </row>
    <row r="6" spans="1:4" ht="12.75">
      <c r="A6" s="12" t="s">
        <v>1</v>
      </c>
      <c r="C6" s="133">
        <v>800</v>
      </c>
      <c r="D6" s="13" t="s">
        <v>63</v>
      </c>
    </row>
    <row r="7" spans="1:4" ht="12.75">
      <c r="A7" s="11" t="s">
        <v>76</v>
      </c>
      <c r="B7" s="14"/>
      <c r="C7" s="132">
        <v>135</v>
      </c>
      <c r="D7" s="12" t="s">
        <v>2</v>
      </c>
    </row>
    <row r="8" spans="1:4" ht="12.75">
      <c r="A8" s="11" t="s">
        <v>37</v>
      </c>
      <c r="C8" s="134">
        <v>9</v>
      </c>
      <c r="D8" s="13" t="s">
        <v>81</v>
      </c>
    </row>
    <row r="9" spans="1:4" ht="12.75">
      <c r="A9" s="12" t="s">
        <v>38</v>
      </c>
      <c r="B9" s="14"/>
      <c r="C9" s="135">
        <f>ROUND((AIperA*Acres*27154)/(GPM*60),0)</f>
        <v>687</v>
      </c>
      <c r="D9" s="11" t="s">
        <v>82</v>
      </c>
    </row>
    <row r="10" spans="1:8" ht="12.75">
      <c r="A10" s="12" t="s">
        <v>3</v>
      </c>
      <c r="C10" s="132">
        <v>150</v>
      </c>
      <c r="D10" s="4" t="s">
        <v>106</v>
      </c>
      <c r="E10" s="107"/>
      <c r="F10" s="12"/>
      <c r="G10" s="84" t="str">
        <f>IF(NamePlateHP="",A1&amp;"  "&amp;LEFT(D41,LEN(D41)-1),A1&amp;"  "&amp;NamePlateHP&amp;" HP")</f>
        <v>Elkhorn Rural Public Power District  75 HP</v>
      </c>
      <c r="H10" s="108"/>
    </row>
    <row r="11" spans="1:4" ht="12.75">
      <c r="A11" s="12" t="s">
        <v>4</v>
      </c>
      <c r="C11" s="132">
        <v>35</v>
      </c>
      <c r="D11" s="13" t="s">
        <v>39</v>
      </c>
    </row>
    <row r="12" spans="1:4" ht="12.75">
      <c r="A12" s="11" t="s">
        <v>57</v>
      </c>
      <c r="B12" s="14"/>
      <c r="C12" s="132">
        <v>8</v>
      </c>
      <c r="D12" s="2" t="s">
        <v>40</v>
      </c>
    </row>
    <row r="13" spans="1:6" ht="12.75">
      <c r="A13" s="183" t="s">
        <v>86</v>
      </c>
      <c r="B13" s="151"/>
      <c r="C13" s="219">
        <v>75</v>
      </c>
      <c r="D13" s="152" t="s">
        <v>119</v>
      </c>
      <c r="E13" s="152"/>
      <c r="F13" s="152"/>
    </row>
    <row r="14" spans="1:4" ht="12.75">
      <c r="A14" s="137" t="s">
        <v>128</v>
      </c>
      <c r="B14" s="14"/>
      <c r="C14" s="140">
        <v>0.82</v>
      </c>
      <c r="D14" s="141" t="s">
        <v>130</v>
      </c>
    </row>
    <row r="15" spans="1:4" ht="12.75">
      <c r="A15" s="12"/>
      <c r="B15" s="14"/>
      <c r="C15" s="16"/>
      <c r="D15" s="153" t="s">
        <v>131</v>
      </c>
    </row>
    <row r="16" spans="1:4" ht="7.5" customHeight="1">
      <c r="A16" s="12"/>
      <c r="B16" s="14"/>
      <c r="C16" s="16"/>
      <c r="D16" s="153"/>
    </row>
    <row r="17" spans="1:9" ht="12.75">
      <c r="A17" s="18" t="s">
        <v>73</v>
      </c>
      <c r="B17" s="14"/>
      <c r="C17" s="16"/>
      <c r="D17" s="19" t="s">
        <v>41</v>
      </c>
      <c r="E17" s="223" t="s">
        <v>43</v>
      </c>
      <c r="F17" s="223"/>
      <c r="I17" s="84">
        <v>50</v>
      </c>
    </row>
    <row r="18" spans="1:9" ht="12.75">
      <c r="A18" s="12"/>
      <c r="B18" s="14"/>
      <c r="C18" s="20" t="s">
        <v>65</v>
      </c>
      <c r="D18" s="19" t="s">
        <v>42</v>
      </c>
      <c r="E18" s="223" t="s">
        <v>45</v>
      </c>
      <c r="F18" s="223"/>
      <c r="I18" s="84">
        <v>46</v>
      </c>
    </row>
    <row r="19" spans="1:9" ht="12.75">
      <c r="A19" s="21" t="str">
        <f>+'Look-up Tables'!B2</f>
        <v>Diesel</v>
      </c>
      <c r="B19" s="22" t="str">
        <f>+'Look-up Tables'!$A$5&amp;"/"&amp;'Look-up Tables'!C2</f>
        <v>$/gal</v>
      </c>
      <c r="C19" s="80">
        <v>3</v>
      </c>
      <c r="D19" s="81">
        <v>20</v>
      </c>
      <c r="E19" s="223" t="s">
        <v>46</v>
      </c>
      <c r="F19" s="223"/>
      <c r="I19" s="84">
        <v>56.37</v>
      </c>
    </row>
    <row r="20" spans="1:9" ht="12.75">
      <c r="A20" s="21" t="str">
        <f>+'Look-up Tables'!B3</f>
        <v>Natural Gas</v>
      </c>
      <c r="B20" s="22" t="str">
        <f>+'Look-up Tables'!$A$5&amp;"/"&amp;'Look-up Tables'!C3</f>
        <v>$/MCF</v>
      </c>
      <c r="C20" s="80">
        <v>12</v>
      </c>
      <c r="D20" s="80">
        <v>20</v>
      </c>
      <c r="E20" s="82">
        <v>150</v>
      </c>
      <c r="F20" s="11" t="s">
        <v>32</v>
      </c>
      <c r="G20" s="11"/>
      <c r="I20" s="84">
        <v>48.55</v>
      </c>
    </row>
    <row r="21" spans="1:9" ht="12.75">
      <c r="A21" s="21" t="str">
        <f>+'Look-up Tables'!B4</f>
        <v>Propane</v>
      </c>
      <c r="B21" s="22" t="str">
        <f>+'Look-up Tables'!$A$5&amp;"/"&amp;'Look-up Tables'!C4</f>
        <v>$/gal</v>
      </c>
      <c r="C21" s="80">
        <v>2</v>
      </c>
      <c r="D21" s="83">
        <v>20</v>
      </c>
      <c r="E21" s="23"/>
      <c r="H21" s="224"/>
      <c r="I21" s="84">
        <v>17.25</v>
      </c>
    </row>
    <row r="22" spans="1:9" ht="12.75">
      <c r="A22" s="21" t="str">
        <f>+'Look-up Tables'!B5</f>
        <v>Electric</v>
      </c>
      <c r="B22" s="22" t="str">
        <f>+'Look-up Tables'!$A$5&amp;"/"&amp;'Look-up Tables'!C5</f>
        <v>$/KWH</v>
      </c>
      <c r="C22" s="122" t="s">
        <v>104</v>
      </c>
      <c r="D22" s="80">
        <v>20</v>
      </c>
      <c r="E22" s="154"/>
      <c r="F22" s="11"/>
      <c r="G22" s="11"/>
      <c r="H22" s="224"/>
      <c r="I22" s="84">
        <v>6.9</v>
      </c>
    </row>
    <row r="23" spans="1:9" ht="12.75">
      <c r="A23" s="21" t="str">
        <f>+'Look-up Tables'!B6</f>
        <v>Gasoline</v>
      </c>
      <c r="B23" s="22" t="str">
        <f>+'Look-up Tables'!$A$5&amp;"/"&amp;'Look-up Tables'!C6</f>
        <v>$/gal</v>
      </c>
      <c r="C23" s="80">
        <v>3</v>
      </c>
      <c r="D23" s="95">
        <v>20</v>
      </c>
      <c r="H23" s="224"/>
      <c r="I23" s="84">
        <v>25</v>
      </c>
    </row>
    <row r="24" spans="1:9" ht="12.75">
      <c r="A24" s="21" t="s">
        <v>6</v>
      </c>
      <c r="B24" s="24" t="s">
        <v>44</v>
      </c>
      <c r="C24" s="81">
        <v>15</v>
      </c>
      <c r="H24" s="224"/>
      <c r="I24" s="84">
        <v>149.65</v>
      </c>
    </row>
    <row r="25" spans="1:9" ht="12.75">
      <c r="A25" s="21" t="s">
        <v>64</v>
      </c>
      <c r="B25" s="24" t="s">
        <v>44</v>
      </c>
      <c r="C25" s="81">
        <v>12</v>
      </c>
      <c r="H25" s="224"/>
      <c r="I25" s="84">
        <f>SUM(I17:I24)</f>
        <v>399.72</v>
      </c>
    </row>
    <row r="26" spans="2:9" ht="12.75">
      <c r="B26" s="25"/>
      <c r="C26" s="26"/>
      <c r="H26" s="224"/>
      <c r="I26" s="84"/>
    </row>
    <row r="27" spans="2:8" ht="12.75">
      <c r="B27" s="25"/>
      <c r="C27" s="26"/>
      <c r="H27" s="224"/>
    </row>
    <row r="30" spans="1:13" ht="15.75">
      <c r="A30" s="27" t="s">
        <v>72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2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63.75">
      <c r="A32" s="184" t="s">
        <v>47</v>
      </c>
      <c r="B32" s="185" t="s">
        <v>2</v>
      </c>
      <c r="C32" s="186" t="s">
        <v>83</v>
      </c>
      <c r="D32" s="185" t="s">
        <v>5</v>
      </c>
      <c r="E32" s="186" t="s">
        <v>48</v>
      </c>
      <c r="F32" s="187"/>
      <c r="G32" s="186" t="s">
        <v>49</v>
      </c>
      <c r="H32" s="186" t="s">
        <v>50</v>
      </c>
      <c r="I32" s="185" t="s">
        <v>51</v>
      </c>
      <c r="J32" s="188" t="s">
        <v>28</v>
      </c>
      <c r="K32" s="185" t="s">
        <v>123</v>
      </c>
      <c r="L32" s="30"/>
    </row>
    <row r="33" spans="1:12" ht="12.75">
      <c r="A33" s="31">
        <f>GPM</f>
        <v>800</v>
      </c>
      <c r="B33" s="32">
        <f>+Acres</f>
        <v>135</v>
      </c>
      <c r="C33" s="33">
        <f>+AIperA</f>
        <v>9</v>
      </c>
      <c r="D33" s="34">
        <f>+C9</f>
        <v>687</v>
      </c>
      <c r="E33" s="32">
        <f>+Lift</f>
        <v>150</v>
      </c>
      <c r="G33" s="32">
        <f>+PSI</f>
        <v>35</v>
      </c>
      <c r="H33" s="15">
        <f>+ROUND(Lift+PSI*2.31,0)</f>
        <v>231</v>
      </c>
      <c r="I33" s="32">
        <f>+C12</f>
        <v>8</v>
      </c>
      <c r="J33" s="15">
        <f>+ROUND(Head*GPM/3960+0.3*Towers,0)</f>
        <v>49</v>
      </c>
      <c r="K33" s="34">
        <f>Elkhorn!D11</f>
        <v>38037.28813559322</v>
      </c>
      <c r="L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2" ht="56.25" customHeight="1" thickBot="1">
      <c r="A35" s="189" t="s">
        <v>52</v>
      </c>
      <c r="B35" s="221" t="s">
        <v>140</v>
      </c>
      <c r="C35" s="222"/>
      <c r="D35" s="189" t="s">
        <v>71</v>
      </c>
      <c r="E35" s="189" t="s">
        <v>53</v>
      </c>
      <c r="F35" s="189" t="s">
        <v>85</v>
      </c>
      <c r="G35" s="189" t="s">
        <v>108</v>
      </c>
      <c r="H35" s="189" t="s">
        <v>70</v>
      </c>
      <c r="I35" s="190" t="s">
        <v>139</v>
      </c>
      <c r="J35" s="189" t="s">
        <v>54</v>
      </c>
      <c r="K35" s="191" t="s">
        <v>126</v>
      </c>
      <c r="L35" s="193" t="s">
        <v>127</v>
      </c>
    </row>
    <row r="36" spans="1:15" ht="12.75">
      <c r="A36" s="102" t="str">
        <f>+A19</f>
        <v>Diesel</v>
      </c>
      <c r="B36" s="35">
        <f>+C19</f>
        <v>3</v>
      </c>
      <c r="C36" s="36" t="str">
        <f>+"/"&amp;'Look-up Tables'!C2</f>
        <v>/gal</v>
      </c>
      <c r="D36" s="37" t="str">
        <f>TEXT($J$33/'Look-up Tables'!D2,"0.0")&amp;" "&amp;'Look-up Tables'!C2</f>
        <v>3.9 gal</v>
      </c>
      <c r="E36" s="38">
        <f>$J$33/VLOOKUP($A36,'Look-up Tables'!$B$2:$H$6,3,FALSE)*$C$9*B36</f>
        <v>8079.12</v>
      </c>
      <c r="F36" s="39">
        <v>70</v>
      </c>
      <c r="G36" s="40">
        <f>+ROUND(((Head*GPM/3960/0.7*(0.82/$C$14))+1.5*Towers)*1.15,0)</f>
        <v>90</v>
      </c>
      <c r="H36" s="38">
        <f>(VLOOKUP($A36,'Look-up Tables'!$B$2:$H$6,4,FALSE)*G36*$D$33/1000)+(VLOOKUP($A36,'Look-up Tables'!$B$2:$H$6,5,FALSE)*$D$33/1000*D19)+($J$33*$D$33/VLOOKUP($A36,'Look-up Tables'!$B$2:$H$6,6,FALSE)*$C$24)+($J$33*$D$33/VLOOKUP($A36,'Look-up Tables'!$B$2:$H$6,7,FALSE)*$C$25)</f>
        <v>1168.7015000000001</v>
      </c>
      <c r="I36" s="38"/>
      <c r="J36" s="41">
        <f>+E36+H36+I36</f>
        <v>9247.8215</v>
      </c>
      <c r="K36" s="194">
        <f>E36/DieselPrice</f>
        <v>2693.04</v>
      </c>
      <c r="L36" s="195" t="s">
        <v>124</v>
      </c>
      <c r="O36" s="146"/>
    </row>
    <row r="37" spans="1:13" ht="12.75">
      <c r="A37" s="103" t="str">
        <f>+A20</f>
        <v>Natural Gas</v>
      </c>
      <c r="B37" s="43">
        <f>C20</f>
        <v>12</v>
      </c>
      <c r="C37" s="44" t="str">
        <f>+"/"&amp;'Look-up Tables'!C3</f>
        <v>/MCF</v>
      </c>
      <c r="D37" s="37" t="str">
        <f>TEXT($J$33/'Look-up Tables'!D3,"0.0")&amp;" "&amp;'Look-up Tables'!C3</f>
        <v>0.8 MCF</v>
      </c>
      <c r="E37" s="38">
        <f>$J$33/VLOOKUP($A37,'Look-up Tables'!$B$2:$H$6,3,FALSE)*$C$9*B37</f>
        <v>6547.0988654781195</v>
      </c>
      <c r="F37" s="39">
        <v>70</v>
      </c>
      <c r="G37" s="40">
        <f>+ROUND(((Head*GPM/3960/0.7*(0.82/$C$14))+1.5*Towers)*1.15,0)</f>
        <v>90</v>
      </c>
      <c r="H37" s="38">
        <f>(VLOOKUP($A37,'Look-up Tables'!$B$2:$H$6,4,FALSE)*G37*$D$33/1000)+(VLOOKUP($A37,'Look-up Tables'!$B$2:$H$6,5,FALSE)*$D$33/1000*D20)+($J$33*$D$33/VLOOKUP($A37,'Look-up Tables'!$B$2:$H$6,6,FALSE)*$C$24)+($J$33*$D$33/VLOOKUP($A37,'Look-up Tables'!$B$2:$H$6,7,FALSE)*$C$25)</f>
        <v>1430.1622499999999</v>
      </c>
      <c r="I37" s="45">
        <f>+E20</f>
        <v>150</v>
      </c>
      <c r="J37" s="45">
        <f>+E37+H37+I37</f>
        <v>8127.261115478119</v>
      </c>
      <c r="K37" s="142">
        <f>E37/NaturalGasPrice*10</f>
        <v>5455.915721231767</v>
      </c>
      <c r="L37" s="143" t="s">
        <v>125</v>
      </c>
      <c r="M37" s="46"/>
    </row>
    <row r="38" spans="1:12" ht="12.75">
      <c r="A38" s="104" t="str">
        <f>+A21</f>
        <v>Propane</v>
      </c>
      <c r="B38" s="43">
        <f>+C21</f>
        <v>2</v>
      </c>
      <c r="C38" s="44" t="str">
        <f>+"/"&amp;'Look-up Tables'!C4</f>
        <v>/gal</v>
      </c>
      <c r="D38" s="37" t="str">
        <f>TEXT($J$33/'Look-up Tables'!D4,"0.0")&amp;" "&amp;'Look-up Tables'!C4</f>
        <v>7.1 gal</v>
      </c>
      <c r="E38" s="38">
        <f>$J$33/VLOOKUP($A38,'Look-up Tables'!$B$2:$H$6,3,FALSE)*$C$9*B38</f>
        <v>9771.552975326562</v>
      </c>
      <c r="F38" s="39">
        <v>70</v>
      </c>
      <c r="G38" s="40">
        <f>+ROUND(((Head*GPM/3960/0.7*(0.82/$C$14))+1.5*Towers)*1.15,0)</f>
        <v>90</v>
      </c>
      <c r="H38" s="38">
        <f>(VLOOKUP($A38,'Look-up Tables'!$B$2:$H$6,4,FALSE)*G38*$D$33/1000)+(VLOOKUP($A38,'Look-up Tables'!$B$2:$H$6,5,FALSE)*$D$33/1000*D21)+($J$33*$D$33/VLOOKUP($A38,'Look-up Tables'!$B$2:$H$6,6,FALSE)*$C$24)+($J$33*$D$33/VLOOKUP($A38,'Look-up Tables'!$B$2:$H$6,7,FALSE)*$C$25)</f>
        <v>1430.1622499999999</v>
      </c>
      <c r="I38" s="45"/>
      <c r="J38" s="45">
        <f>+E38+H38+I38</f>
        <v>11201.715225326561</v>
      </c>
      <c r="K38" s="142">
        <f>E38/PropanePrice</f>
        <v>4885.776487663281</v>
      </c>
      <c r="L38" s="143" t="s">
        <v>124</v>
      </c>
    </row>
    <row r="39" spans="1:12" ht="12.75">
      <c r="A39" s="105" t="str">
        <f>+A23</f>
        <v>Gasoline</v>
      </c>
      <c r="B39" s="43">
        <v>2.75</v>
      </c>
      <c r="C39" s="44" t="str">
        <f>+"/"&amp;'Look-up Tables'!C6</f>
        <v>/gal</v>
      </c>
      <c r="D39" s="37" t="str">
        <f>TEXT($J$33/'Look-up Tables'!D6,"0.0")&amp;" "&amp;'Look-up Tables'!C6</f>
        <v>5.7 gal</v>
      </c>
      <c r="E39" s="38">
        <f>$J$33/VLOOKUP($A39,'Look-up Tables'!$B$2:$H$6,3,FALSE)*$C$9*B39</f>
        <v>10689.751732101617</v>
      </c>
      <c r="F39" s="39">
        <v>70</v>
      </c>
      <c r="G39" s="40">
        <f>+ROUND(((Head*GPM/3960/0.7*(0.82/$C$14))+1.5*Towers)*1.15,0)</f>
        <v>90</v>
      </c>
      <c r="H39" s="38">
        <f>(VLOOKUP($A39,'Look-up Tables'!$B$2:$H$6,4,FALSE)*G39*$D$33/1000)+(VLOOKUP($A39,'Look-up Tables'!$B$2:$H$6,5,FALSE)*$D$33/1000*D23)+($J$33*$D$33/VLOOKUP($A39,'Look-up Tables'!$B$2:$H$6,6,FALSE)*$C$24)+($J$33*$D$33/VLOOKUP($A39,'Look-up Tables'!$B$2:$H$6,7,FALSE)*$C$25)</f>
        <v>1476.53475</v>
      </c>
      <c r="I39" s="45"/>
      <c r="J39" s="45">
        <f>+E39+H39+I39</f>
        <v>12166.286482101617</v>
      </c>
      <c r="K39" s="142">
        <f>E39/GasolinePrice</f>
        <v>3563.2505773672056</v>
      </c>
      <c r="L39" s="143" t="s">
        <v>124</v>
      </c>
    </row>
    <row r="40" spans="1:12" ht="21" customHeight="1">
      <c r="A40" s="192" t="s">
        <v>105</v>
      </c>
      <c r="B40" s="124"/>
      <c r="C40" s="125"/>
      <c r="D40" s="126"/>
      <c r="E40" s="127"/>
      <c r="F40" s="128"/>
      <c r="G40" s="129"/>
      <c r="H40" s="130"/>
      <c r="I40" s="130"/>
      <c r="J40" s="130"/>
      <c r="K40" s="196"/>
      <c r="L40" s="197"/>
    </row>
    <row r="41" spans="1:15" s="92" customFormat="1" ht="12.75">
      <c r="A41" s="106" t="str">
        <f>IF(NamePlateHP="",Option1,IF(O1UPHP&lt;0.0001,"N/A - Clear Name Plate HP",Option1))</f>
        <v>Full Time - Pumping</v>
      </c>
      <c r="B41" s="85">
        <f>Elkhorn!D26/Inputs!$K$33</f>
        <v>0.15951804651991802</v>
      </c>
      <c r="C41" s="86" t="str">
        <f>"/"&amp;"kWh"</f>
        <v>/kWh</v>
      </c>
      <c r="D41" s="87" t="str">
        <f>TEXT($J$33/'Look-up Tables'!$D$5,"0.00")&amp;" "&amp;'Look-up Tables'!$C$5</f>
        <v>55.37 KWH</v>
      </c>
      <c r="E41" s="88">
        <f>Elkhorn!D20</f>
        <v>3128.3118644067795</v>
      </c>
      <c r="F41" s="123">
        <v>75</v>
      </c>
      <c r="G41" s="40">
        <f>+ROUND(((Head*GPM/3960/0.75*(0.82/$C$14))+0.25*Towers),0)</f>
        <v>64</v>
      </c>
      <c r="H41" s="88">
        <f>(VLOOKUP($A$22,'Look-up Tables'!$B$2:$H$6,4,FALSE)*G41*$D$33/1000)+(VLOOKUP($A$22,'Look-up Tables'!$B$2:$H$6,5,FALSE)*$D$33/1000*$D$22)+($J$33*$D$33/VLOOKUP($A$22,'Look-up Tables'!$B$2:$H$6,7,FALSE)*$C$25)</f>
        <v>403.04916</v>
      </c>
      <c r="I41" s="90">
        <f>Elkhorn!D22+Elkhorn!D25</f>
        <v>2939.322033898305</v>
      </c>
      <c r="J41" s="90">
        <f>E41+H41+I41</f>
        <v>6470.683058305085</v>
      </c>
      <c r="K41" s="144">
        <f aca="true" t="shared" si="0" ref="K41:K54">$K$33</f>
        <v>38037.28813559322</v>
      </c>
      <c r="L41" s="145" t="s">
        <v>123</v>
      </c>
      <c r="O41" s="2"/>
    </row>
    <row r="42" spans="1:15" s="92" customFormat="1" ht="12.75">
      <c r="A42" s="106" t="str">
        <f>IF(NamePlateHP="",Option2,IF(O2UPHP&lt;0.0001,"N/A - Clear Name Plate HP",Option2))</f>
        <v>4-Hour Control</v>
      </c>
      <c r="B42" s="85">
        <f>Elkhorn!D46/Inputs!$K$33</f>
        <v>0.15188069987820457</v>
      </c>
      <c r="C42" s="86" t="str">
        <f>"/"&amp;"kWh"</f>
        <v>/kWh</v>
      </c>
      <c r="D42" s="87" t="str">
        <f>TEXT($J$33/'Look-up Tables'!$D$5,"0.00")&amp;" "&amp;'Look-up Tables'!$C$5</f>
        <v>55.37 KWH</v>
      </c>
      <c r="E42" s="88">
        <f>Elkhorn!D40</f>
        <v>3114.64406779661</v>
      </c>
      <c r="F42" s="89">
        <f>F41</f>
        <v>75</v>
      </c>
      <c r="G42" s="40">
        <f>+ROUND(((Head*GPM/3960/0.75*(0.82/$C$14))+0.25*Towers),0)</f>
        <v>64</v>
      </c>
      <c r="H42" s="88">
        <f>(VLOOKUP($A$22,'Look-up Tables'!$B$2:$H$6,4,FALSE)*G42*$D$33/1000)+(VLOOKUP($A$22,'Look-up Tables'!$B$2:$H$6,5,FALSE)*$D$33/1000*$D$22)+($J$33*$D$33/VLOOKUP($A$22,'Look-up Tables'!$B$2:$H$6,7,FALSE)*$C$25)</f>
        <v>403.04916</v>
      </c>
      <c r="I42" s="90">
        <f>Elkhorn!D42</f>
        <v>1882.4858757062145</v>
      </c>
      <c r="J42" s="90">
        <f>+E42+H42+I42</f>
        <v>5400.179103502825</v>
      </c>
      <c r="K42" s="144">
        <f t="shared" si="0"/>
        <v>38037.28813559322</v>
      </c>
      <c r="L42" s="145" t="s">
        <v>123</v>
      </c>
      <c r="O42" s="2"/>
    </row>
    <row r="43" spans="1:15" s="92" customFormat="1" ht="12.75">
      <c r="A43" s="106" t="str">
        <f>IF(NamePlateHP="",Option3,IF(O3UPHP&lt;0.0001,"N/A - Clear Name Plate HP",Option3))</f>
        <v>6-Hour Control</v>
      </c>
      <c r="B43" s="85">
        <f>Elkhorn!D66/Inputs!$K$33</f>
        <v>0.1411898078008496</v>
      </c>
      <c r="C43" s="86" t="str">
        <f>"/"&amp;"kWh"</f>
        <v>/kWh</v>
      </c>
      <c r="D43" s="87" t="str">
        <f>TEXT($J$33/'Look-up Tables'!$D$5,"0.00")&amp;" "&amp;'Look-up Tables'!$C$5</f>
        <v>55.37 KWH</v>
      </c>
      <c r="E43" s="88">
        <f>Elkhorn!D60</f>
        <v>2957.14406779661</v>
      </c>
      <c r="F43" s="89">
        <f>F41</f>
        <v>75</v>
      </c>
      <c r="G43" s="40">
        <f>+ROUND(((Head*GPM/3960/0.75*(0.82/$C$14))+0.25*Towers),0)</f>
        <v>64</v>
      </c>
      <c r="H43" s="88">
        <f>(VLOOKUP($A$22,'Look-up Tables'!$B$2:$H$6,4,FALSE)*G43*$D$33/1000)+(VLOOKUP($A$22,'Look-up Tables'!$B$2:$H$6,5,FALSE)*$D$33/1000*$D$22)+($J$33*$D$33/VLOOKUP($A$22,'Look-up Tables'!$B$2:$H$6,7,FALSE)*$C$25)</f>
        <v>403.04916</v>
      </c>
      <c r="I43" s="90">
        <f>Elkhorn!D62</f>
        <v>1633.3333333333333</v>
      </c>
      <c r="J43" s="90">
        <f>+E43+H43+I43</f>
        <v>4993.526561129944</v>
      </c>
      <c r="K43" s="144">
        <f t="shared" si="0"/>
        <v>38037.28813559322</v>
      </c>
      <c r="L43" s="145" t="s">
        <v>123</v>
      </c>
      <c r="O43" s="2"/>
    </row>
    <row r="44" spans="1:15" s="92" customFormat="1" ht="12.75" hidden="1">
      <c r="A44" s="106" t="str">
        <f aca="true" t="shared" si="1" ref="A44:A50">IF(NamePlateHP="",Option3,IF(O3UPHP&lt;0.0001,"N/A - Clear Name Plate HP",Option3))</f>
        <v>6-Hour Control</v>
      </c>
      <c r="B44" s="85">
        <f aca="true" t="shared" si="2" ref="B44:B50">IF(NamePlateHP="",O3UP,IF(O3UPHP&lt;0.0001,0,O3UPHP))</f>
        <v>0.07774329382407985</v>
      </c>
      <c r="C44" s="86" t="str">
        <f aca="true" t="shared" si="3" ref="C44:C54">"/"&amp;"kWh"</f>
        <v>/kWh</v>
      </c>
      <c r="D44" s="87" t="str">
        <f>TEXT($J$33/'Look-up Tables'!$D$5,"0.00")&amp;" "&amp;'Look-up Tables'!$C$5</f>
        <v>55.37 KWH</v>
      </c>
      <c r="E44" s="88">
        <f>$J$33/VLOOKUP($A$22,'Look-up Tables'!$B$2:$H$6,3,FALSE)*$C$9*B44</f>
        <v>2957.14406779661</v>
      </c>
      <c r="F44" s="89">
        <f aca="true" t="shared" si="4" ref="F44:F54">F42</f>
        <v>75</v>
      </c>
      <c r="G44" s="40">
        <f aca="true" t="shared" si="5" ref="G44:G50">+ROUND(((Head*GPM/3960/(F44/100)*(0.82/$C$14))+1.5*Towers),0)</f>
        <v>74</v>
      </c>
      <c r="H44" s="88">
        <f>(VLOOKUP($A$22,'Look-up Tables'!$B$2:$H$6,4,FALSE)*G44*$D$33/1000)+(VLOOKUP($A$22,'Look-up Tables'!$B$2:$H$6,5,FALSE)*$D$33/1000*$D$22)+($J$33*$D$33/VLOOKUP($A$22,'Look-up Tables'!$B$2:$H$6,7,FALSE)*$C$25)</f>
        <v>407.30856</v>
      </c>
      <c r="I44" s="90">
        <f aca="true" t="shared" si="6" ref="I44:I50">IF(NamePlateHP="",Option3Ttl,IF(Option3TtlHP&lt;0.0001,0,Option3TtlHP))</f>
        <v>3750</v>
      </c>
      <c r="J44" s="90">
        <f aca="true" t="shared" si="7" ref="J44:J54">+E44+H44+I44</f>
        <v>7114.452627796611</v>
      </c>
      <c r="K44" s="144">
        <f t="shared" si="0"/>
        <v>38037.28813559322</v>
      </c>
      <c r="L44" s="145" t="s">
        <v>123</v>
      </c>
      <c r="O44" s="2"/>
    </row>
    <row r="45" spans="1:15" s="92" customFormat="1" ht="12.75" hidden="1">
      <c r="A45" s="106" t="str">
        <f t="shared" si="1"/>
        <v>6-Hour Control</v>
      </c>
      <c r="B45" s="85">
        <f t="shared" si="2"/>
        <v>0.07774329382407985</v>
      </c>
      <c r="C45" s="86" t="str">
        <f t="shared" si="3"/>
        <v>/kWh</v>
      </c>
      <c r="D45" s="87" t="str">
        <f>TEXT($J$33/'Look-up Tables'!$D$5,"0.00")&amp;" "&amp;'Look-up Tables'!$C$5</f>
        <v>55.37 KWH</v>
      </c>
      <c r="E45" s="88">
        <f>$J$33/VLOOKUP($A$22,'Look-up Tables'!$B$2:$H$6,3,FALSE)*$C$9*B45</f>
        <v>2957.14406779661</v>
      </c>
      <c r="F45" s="89">
        <f t="shared" si="4"/>
        <v>75</v>
      </c>
      <c r="G45" s="40">
        <f t="shared" si="5"/>
        <v>74</v>
      </c>
      <c r="H45" s="88">
        <f>(VLOOKUP($A$22,'Look-up Tables'!$B$2:$H$6,4,FALSE)*G45*$D$33/1000)+(VLOOKUP($A$22,'Look-up Tables'!$B$2:$H$6,5,FALSE)*$D$33/1000*$D$22)+($J$33*$D$33/VLOOKUP($A$22,'Look-up Tables'!$B$2:$H$6,7,FALSE)*$C$25)</f>
        <v>407.30856</v>
      </c>
      <c r="I45" s="90">
        <f t="shared" si="6"/>
        <v>3750</v>
      </c>
      <c r="J45" s="90">
        <f t="shared" si="7"/>
        <v>7114.452627796611</v>
      </c>
      <c r="K45" s="144">
        <f t="shared" si="0"/>
        <v>38037.28813559322</v>
      </c>
      <c r="L45" s="145" t="s">
        <v>123</v>
      </c>
      <c r="O45" s="2"/>
    </row>
    <row r="46" spans="1:15" s="92" customFormat="1" ht="12.75" hidden="1">
      <c r="A46" s="106" t="str">
        <f t="shared" si="1"/>
        <v>6-Hour Control</v>
      </c>
      <c r="B46" s="85">
        <f t="shared" si="2"/>
        <v>0.07774329382407985</v>
      </c>
      <c r="C46" s="86" t="str">
        <f t="shared" si="3"/>
        <v>/kWh</v>
      </c>
      <c r="D46" s="87" t="str">
        <f>TEXT($J$33/'Look-up Tables'!$D$5,"0.00")&amp;" "&amp;'Look-up Tables'!$C$5</f>
        <v>55.37 KWH</v>
      </c>
      <c r="E46" s="88">
        <f>$J$33/VLOOKUP($A$22,'Look-up Tables'!$B$2:$H$6,3,FALSE)*$C$9*B46</f>
        <v>2957.14406779661</v>
      </c>
      <c r="F46" s="89">
        <f t="shared" si="4"/>
        <v>75</v>
      </c>
      <c r="G46" s="40">
        <f t="shared" si="5"/>
        <v>74</v>
      </c>
      <c r="H46" s="88">
        <f>(VLOOKUP($A$22,'Look-up Tables'!$B$2:$H$6,4,FALSE)*G46*$D$33/1000)+(VLOOKUP($A$22,'Look-up Tables'!$B$2:$H$6,5,FALSE)*$D$33/1000*$D$22)+($J$33*$D$33/VLOOKUP($A$22,'Look-up Tables'!$B$2:$H$6,7,FALSE)*$C$25)</f>
        <v>407.30856</v>
      </c>
      <c r="I46" s="90">
        <f t="shared" si="6"/>
        <v>3750</v>
      </c>
      <c r="J46" s="90">
        <f t="shared" si="7"/>
        <v>7114.452627796611</v>
      </c>
      <c r="K46" s="144">
        <f t="shared" si="0"/>
        <v>38037.28813559322</v>
      </c>
      <c r="L46" s="145" t="s">
        <v>123</v>
      </c>
      <c r="O46" s="2"/>
    </row>
    <row r="47" spans="1:15" s="92" customFormat="1" ht="12.75" hidden="1">
      <c r="A47" s="106" t="str">
        <f t="shared" si="1"/>
        <v>6-Hour Control</v>
      </c>
      <c r="B47" s="85">
        <f t="shared" si="2"/>
        <v>0.07774329382407985</v>
      </c>
      <c r="C47" s="86" t="str">
        <f t="shared" si="3"/>
        <v>/kWh</v>
      </c>
      <c r="D47" s="87" t="str">
        <f>TEXT($J$33/'Look-up Tables'!$D$5,"0.00")&amp;" "&amp;'Look-up Tables'!$C$5</f>
        <v>55.37 KWH</v>
      </c>
      <c r="E47" s="88">
        <f>$J$33/VLOOKUP($A$22,'Look-up Tables'!$B$2:$H$6,3,FALSE)*$C$9*B47</f>
        <v>2957.14406779661</v>
      </c>
      <c r="F47" s="89">
        <f t="shared" si="4"/>
        <v>75</v>
      </c>
      <c r="G47" s="40">
        <f t="shared" si="5"/>
        <v>74</v>
      </c>
      <c r="H47" s="88">
        <f>(VLOOKUP($A$22,'Look-up Tables'!$B$2:$H$6,4,FALSE)*G47*$D$33/1000)+(VLOOKUP($A$22,'Look-up Tables'!$B$2:$H$6,5,FALSE)*$D$33/1000*$D$22)+($J$33*$D$33/VLOOKUP($A$22,'Look-up Tables'!$B$2:$H$6,7,FALSE)*$C$25)</f>
        <v>407.30856</v>
      </c>
      <c r="I47" s="90">
        <f t="shared" si="6"/>
        <v>3750</v>
      </c>
      <c r="J47" s="90">
        <f t="shared" si="7"/>
        <v>7114.452627796611</v>
      </c>
      <c r="K47" s="144">
        <f t="shared" si="0"/>
        <v>38037.28813559322</v>
      </c>
      <c r="L47" s="145" t="s">
        <v>123</v>
      </c>
      <c r="O47" s="2"/>
    </row>
    <row r="48" spans="1:15" s="92" customFormat="1" ht="12.75" hidden="1">
      <c r="A48" s="106" t="str">
        <f t="shared" si="1"/>
        <v>6-Hour Control</v>
      </c>
      <c r="B48" s="85">
        <f t="shared" si="2"/>
        <v>0.07774329382407985</v>
      </c>
      <c r="C48" s="86" t="str">
        <f t="shared" si="3"/>
        <v>/kWh</v>
      </c>
      <c r="D48" s="87" t="str">
        <f>TEXT($J$33/'Look-up Tables'!$D$5,"0.00")&amp;" "&amp;'Look-up Tables'!$C$5</f>
        <v>55.37 KWH</v>
      </c>
      <c r="E48" s="88">
        <f>$J$33/VLOOKUP($A$22,'Look-up Tables'!$B$2:$H$6,3,FALSE)*$C$9*B48</f>
        <v>2957.14406779661</v>
      </c>
      <c r="F48" s="89">
        <f t="shared" si="4"/>
        <v>75</v>
      </c>
      <c r="G48" s="40">
        <f t="shared" si="5"/>
        <v>74</v>
      </c>
      <c r="H48" s="88">
        <f>(VLOOKUP($A$22,'Look-up Tables'!$B$2:$H$6,4,FALSE)*G48*$D$33/1000)+(VLOOKUP($A$22,'Look-up Tables'!$B$2:$H$6,5,FALSE)*$D$33/1000*$D$22)+($J$33*$D$33/VLOOKUP($A$22,'Look-up Tables'!$B$2:$H$6,7,FALSE)*$C$25)</f>
        <v>407.30856</v>
      </c>
      <c r="I48" s="90">
        <f t="shared" si="6"/>
        <v>3750</v>
      </c>
      <c r="J48" s="90">
        <f t="shared" si="7"/>
        <v>7114.452627796611</v>
      </c>
      <c r="K48" s="144">
        <f t="shared" si="0"/>
        <v>38037.28813559322</v>
      </c>
      <c r="L48" s="145" t="s">
        <v>123</v>
      </c>
      <c r="O48" s="2"/>
    </row>
    <row r="49" spans="1:15" s="92" customFormat="1" ht="12.75" hidden="1">
      <c r="A49" s="106" t="str">
        <f t="shared" si="1"/>
        <v>6-Hour Control</v>
      </c>
      <c r="B49" s="85">
        <f t="shared" si="2"/>
        <v>0.07774329382407985</v>
      </c>
      <c r="C49" s="86" t="str">
        <f t="shared" si="3"/>
        <v>/kWh</v>
      </c>
      <c r="D49" s="87" t="str">
        <f>TEXT($J$33/'Look-up Tables'!$D$5,"0.00")&amp;" "&amp;'Look-up Tables'!$C$5</f>
        <v>55.37 KWH</v>
      </c>
      <c r="E49" s="88">
        <f>$J$33/VLOOKUP($A$22,'Look-up Tables'!$B$2:$H$6,3,FALSE)*$C$9*B49</f>
        <v>2957.14406779661</v>
      </c>
      <c r="F49" s="89">
        <f t="shared" si="4"/>
        <v>75</v>
      </c>
      <c r="G49" s="40">
        <f t="shared" si="5"/>
        <v>74</v>
      </c>
      <c r="H49" s="88">
        <f>(VLOOKUP($A$22,'Look-up Tables'!$B$2:$H$6,4,FALSE)*G49*$D$33/1000)+(VLOOKUP($A$22,'Look-up Tables'!$B$2:$H$6,5,FALSE)*$D$33/1000*$D$22)+($J$33*$D$33/VLOOKUP($A$22,'Look-up Tables'!$B$2:$H$6,7,FALSE)*$C$25)</f>
        <v>407.30856</v>
      </c>
      <c r="I49" s="90">
        <f t="shared" si="6"/>
        <v>3750</v>
      </c>
      <c r="J49" s="90">
        <f t="shared" si="7"/>
        <v>7114.452627796611</v>
      </c>
      <c r="K49" s="144">
        <f t="shared" si="0"/>
        <v>38037.28813559322</v>
      </c>
      <c r="L49" s="145" t="s">
        <v>123</v>
      </c>
      <c r="O49" s="2"/>
    </row>
    <row r="50" spans="1:15" s="92" customFormat="1" ht="12.75" hidden="1">
      <c r="A50" s="106" t="str">
        <f t="shared" si="1"/>
        <v>6-Hour Control</v>
      </c>
      <c r="B50" s="85">
        <f t="shared" si="2"/>
        <v>0.07774329382407985</v>
      </c>
      <c r="C50" s="86" t="str">
        <f t="shared" si="3"/>
        <v>/kWh</v>
      </c>
      <c r="D50" s="87" t="str">
        <f>TEXT($J$33/'Look-up Tables'!$D$5,"0.00")&amp;" "&amp;'Look-up Tables'!$C$5</f>
        <v>55.37 KWH</v>
      </c>
      <c r="E50" s="88">
        <f>$J$33/VLOOKUP($A$22,'Look-up Tables'!$B$2:$H$6,3,FALSE)*$C$9*B50</f>
        <v>2957.14406779661</v>
      </c>
      <c r="F50" s="89">
        <f t="shared" si="4"/>
        <v>75</v>
      </c>
      <c r="G50" s="40">
        <f t="shared" si="5"/>
        <v>74</v>
      </c>
      <c r="H50" s="88">
        <f>(VLOOKUP($A$22,'Look-up Tables'!$B$2:$H$6,4,FALSE)*G50*$D$33/1000)+(VLOOKUP($A$22,'Look-up Tables'!$B$2:$H$6,5,FALSE)*$D$33/1000*$D$22)+($J$33*$D$33/VLOOKUP($A$22,'Look-up Tables'!$B$2:$H$6,7,FALSE)*$C$25)</f>
        <v>407.30856</v>
      </c>
      <c r="I50" s="90">
        <f t="shared" si="6"/>
        <v>3750</v>
      </c>
      <c r="J50" s="90">
        <f t="shared" si="7"/>
        <v>7114.452627796611</v>
      </c>
      <c r="K50" s="144">
        <f t="shared" si="0"/>
        <v>38037.28813559322</v>
      </c>
      <c r="L50" s="145" t="s">
        <v>123</v>
      </c>
      <c r="O50" s="2"/>
    </row>
    <row r="51" spans="1:15" s="92" customFormat="1" ht="12.75">
      <c r="A51" s="106" t="str">
        <f>IF(NamePlateHP="",Option4,IF(O3UPHP&lt;0.0001,"N/A - Clear Name Plate HP",Option4))</f>
        <v>8-Hour Control</v>
      </c>
      <c r="B51" s="85">
        <f>Elkhorn!D86/Inputs!$K$33</f>
        <v>0.1339954846567448</v>
      </c>
      <c r="C51" s="86" t="str">
        <f t="shared" si="3"/>
        <v>/kWh</v>
      </c>
      <c r="D51" s="87" t="str">
        <f>TEXT($J$33/'Look-up Tables'!$D$5,"0.00")&amp;" "&amp;'Look-up Tables'!$C$5</f>
        <v>55.37 KWH</v>
      </c>
      <c r="E51" s="88">
        <f>Elkhorn!D80</f>
        <v>2932.64406779661</v>
      </c>
      <c r="F51" s="89">
        <f>F49</f>
        <v>75</v>
      </c>
      <c r="G51" s="40">
        <f>+ROUND(((Head*GPM/3960/0.75*(0.82/$C$14))+0.25*Towers),0)</f>
        <v>64</v>
      </c>
      <c r="H51" s="88">
        <f>(VLOOKUP($A$22,'Look-up Tables'!$B$2:$H$6,4,FALSE)*G51*$D$33/1000)+(VLOOKUP($A$22,'Look-up Tables'!$B$2:$H$6,5,FALSE)*$D$33/1000*$D$22)+($J$33*$D$33/VLOOKUP($A$22,'Look-up Tables'!$B$2:$H$6,7,FALSE)*$C$25)</f>
        <v>403.04916</v>
      </c>
      <c r="I51" s="90">
        <f>Elkhorn!D82</f>
        <v>1384.180790960452</v>
      </c>
      <c r="J51" s="90">
        <f t="shared" si="7"/>
        <v>4719.874018757062</v>
      </c>
      <c r="K51" s="144">
        <f t="shared" si="0"/>
        <v>38037.28813559322</v>
      </c>
      <c r="L51" s="145" t="s">
        <v>123</v>
      </c>
      <c r="O51" s="2"/>
    </row>
    <row r="52" spans="1:15" s="92" customFormat="1" ht="12.75">
      <c r="A52" s="106" t="str">
        <f>IF(NamePlateHP="",Option5,IF(O3UPHP&lt;0.0001,"N/A - Clear Name Plate HP",Option5))</f>
        <v>10-Hour Control</v>
      </c>
      <c r="B52" s="85">
        <f>Elkhorn!D106/Inputs!$K$33</f>
        <v>0.12680116151263998</v>
      </c>
      <c r="C52" s="86" t="str">
        <f t="shared" si="3"/>
        <v>/kWh</v>
      </c>
      <c r="D52" s="87" t="str">
        <f>TEXT($J$33/'Look-up Tables'!$D$5,"0.00")&amp;" "&amp;'Look-up Tables'!$C$5</f>
        <v>55.37 KWH</v>
      </c>
      <c r="E52" s="88">
        <f>Elkhorn!D100</f>
        <v>2908.14406779661</v>
      </c>
      <c r="F52" s="89">
        <f>F50</f>
        <v>75</v>
      </c>
      <c r="G52" s="40">
        <f>+ROUND(((Head*GPM/3960/0.75*(0.82/$C$14))+0.25*Towers),0)</f>
        <v>64</v>
      </c>
      <c r="H52" s="88">
        <f>(VLOOKUP($A$22,'Look-up Tables'!$B$2:$H$6,4,FALSE)*G52*$D$33/1000)+(VLOOKUP($A$22,'Look-up Tables'!$B$2:$H$6,5,FALSE)*$D$33/1000*$D$22)+($J$33*$D$33/VLOOKUP($A$22,'Look-up Tables'!$B$2:$H$6,7,FALSE)*$C$25)</f>
        <v>403.04916</v>
      </c>
      <c r="I52" s="90">
        <f>Elkhorn!D102</f>
        <v>1135.0282485875705</v>
      </c>
      <c r="J52" s="90">
        <f t="shared" si="7"/>
        <v>4446.22147638418</v>
      </c>
      <c r="K52" s="144">
        <f t="shared" si="0"/>
        <v>38037.28813559322</v>
      </c>
      <c r="L52" s="145" t="s">
        <v>123</v>
      </c>
      <c r="O52" s="2"/>
    </row>
    <row r="53" spans="1:15" s="92" customFormat="1" ht="12.75">
      <c r="A53" s="106" t="str">
        <f>IF(NamePlateHP="",Option6,IF(O3UPHP&lt;0.0001,"N/A - Clear Name Plate HP",Option6))</f>
        <v>12-Hour Control</v>
      </c>
      <c r="B53" s="85">
        <f>Elkhorn!D126/Inputs!$K$33</f>
        <v>0.10085241957044827</v>
      </c>
      <c r="C53" s="86" t="str">
        <f t="shared" si="3"/>
        <v>/kWh</v>
      </c>
      <c r="D53" s="87" t="str">
        <f>TEXT($J$33/'Look-up Tables'!$D$5,"0.00")&amp;" "&amp;'Look-up Tables'!$C$5</f>
        <v>55.37 KWH</v>
      </c>
      <c r="E53" s="88">
        <f>Elkhorn!D120</f>
        <v>2225.64406779661</v>
      </c>
      <c r="F53" s="89">
        <f t="shared" si="4"/>
        <v>75</v>
      </c>
      <c r="G53" s="40">
        <f>+ROUND(((Head*GPM/3960/0.75*(0.82/$C$14))+0.25*Towers),0)</f>
        <v>64</v>
      </c>
      <c r="H53" s="88">
        <f>(VLOOKUP($A$22,'Look-up Tables'!$B$2:$H$6,4,FALSE)*G53*$D$33/1000)+(VLOOKUP($A$22,'Look-up Tables'!$B$2:$H$6,5,FALSE)*$D$33/1000*$D$22)+($J$33*$D$33/VLOOKUP($A$22,'Look-up Tables'!$B$2:$H$6,7,FALSE)*$C$25)</f>
        <v>403.04916</v>
      </c>
      <c r="I53" s="90">
        <f>Elkhorn!D122</f>
        <v>830.5084745762712</v>
      </c>
      <c r="J53" s="90">
        <f t="shared" si="7"/>
        <v>3459.2017023728813</v>
      </c>
      <c r="K53" s="144">
        <f t="shared" si="0"/>
        <v>38037.28813559322</v>
      </c>
      <c r="L53" s="145" t="s">
        <v>123</v>
      </c>
      <c r="O53" s="2"/>
    </row>
    <row r="54" spans="1:15" s="92" customFormat="1" ht="12.75">
      <c r="A54" s="106" t="str">
        <f>IF(NamePlateHP="",Option7,IF(O3UPHP&lt;0.0001,"N/A - Clear Name Plate HP",Option7))</f>
        <v>Daily Control (9 am - 11 pm)</v>
      </c>
      <c r="B54" s="85">
        <f>Elkhorn!D142/Inputs!$K$33</f>
        <v>0.08639542227371298</v>
      </c>
      <c r="C54" s="86" t="str">
        <f t="shared" si="3"/>
        <v>/kWh</v>
      </c>
      <c r="D54" s="87" t="str">
        <f>TEXT($J$33/'Look-up Tables'!$D$5,"0.00")&amp;" "&amp;'Look-up Tables'!$C$5</f>
        <v>55.37 KWH</v>
      </c>
      <c r="E54" s="88">
        <f>Elkhorn!D136</f>
        <v>2118.6769491525424</v>
      </c>
      <c r="F54" s="89">
        <f t="shared" si="4"/>
        <v>75</v>
      </c>
      <c r="G54" s="40">
        <f>+ROUND(((Head*GPM/3960/0.75*(0.82/$C$14))+0.25*Towers),0)</f>
        <v>64</v>
      </c>
      <c r="H54" s="88">
        <f>(VLOOKUP($A$22,'Look-up Tables'!$B$2:$H$6,4,FALSE)*G54*$D$33/1000)+(VLOOKUP($A$22,'Look-up Tables'!$B$2:$H$6,5,FALSE)*$D$33/1000*$D$22)+($J$33*$D$33/VLOOKUP($A$22,'Look-up Tables'!$B$2:$H$6,7,FALSE)*$C$25)</f>
        <v>403.04916</v>
      </c>
      <c r="I54" s="90">
        <f>Elkhorn!D138</f>
        <v>387.57062146892656</v>
      </c>
      <c r="J54" s="90">
        <f t="shared" si="7"/>
        <v>2909.296730621469</v>
      </c>
      <c r="K54" s="144">
        <f t="shared" si="0"/>
        <v>38037.28813559322</v>
      </c>
      <c r="L54" s="145" t="s">
        <v>123</v>
      </c>
      <c r="O54" s="2"/>
    </row>
    <row r="55" spans="1:11" s="92" customFormat="1" ht="12.75">
      <c r="A55" s="96"/>
      <c r="B55" s="97"/>
      <c r="C55" s="98"/>
      <c r="D55" s="99"/>
      <c r="E55" s="91"/>
      <c r="F55" s="100"/>
      <c r="G55" s="101"/>
      <c r="H55" s="91"/>
      <c r="I55" s="91"/>
      <c r="J55" s="91"/>
      <c r="K55" s="91"/>
    </row>
    <row r="56" spans="1:13" ht="12.75">
      <c r="A56" s="198" t="s">
        <v>142</v>
      </c>
      <c r="B56" s="1"/>
      <c r="C56" s="48"/>
      <c r="D56" s="8"/>
      <c r="E56" s="8"/>
      <c r="F56" s="42"/>
      <c r="G56" s="8"/>
      <c r="H56" s="8"/>
      <c r="I56" s="3"/>
      <c r="J56" s="3"/>
      <c r="K56" s="3"/>
      <c r="L56" s="3"/>
      <c r="M56" s="3"/>
    </row>
    <row r="57" spans="1:13" ht="12.75">
      <c r="A57" s="11" t="s">
        <v>87</v>
      </c>
      <c r="B57" s="1"/>
      <c r="C57" s="48"/>
      <c r="D57" s="8"/>
      <c r="E57" s="8"/>
      <c r="F57" s="8"/>
      <c r="G57" s="8"/>
      <c r="H57" s="8"/>
      <c r="I57" s="3"/>
      <c r="J57" s="3"/>
      <c r="K57" s="3"/>
      <c r="L57" s="3"/>
      <c r="M57" s="3"/>
    </row>
    <row r="58" spans="1:13" ht="12.75">
      <c r="A58" s="12"/>
      <c r="B58" s="1"/>
      <c r="C58" s="48"/>
      <c r="D58" s="8"/>
      <c r="E58" s="8"/>
      <c r="F58" s="8"/>
      <c r="G58" s="8"/>
      <c r="H58" s="8"/>
      <c r="I58" s="3"/>
      <c r="J58" s="3"/>
      <c r="K58" s="3"/>
      <c r="L58" s="3"/>
      <c r="M58" s="3"/>
    </row>
    <row r="59" spans="1:13" ht="12.75">
      <c r="A59" s="47"/>
      <c r="B59" s="1"/>
      <c r="C59" s="48"/>
      <c r="D59" s="8"/>
      <c r="E59" s="8"/>
      <c r="F59" s="8"/>
      <c r="G59" s="8"/>
      <c r="H59" s="8"/>
      <c r="I59" s="3"/>
      <c r="J59" s="3"/>
      <c r="K59" s="3"/>
      <c r="L59" s="3"/>
      <c r="M59" s="3"/>
    </row>
    <row r="60" spans="1:12" ht="15.75">
      <c r="A60" s="49" t="s">
        <v>29</v>
      </c>
      <c r="B60" s="50"/>
      <c r="C60" s="50"/>
      <c r="D60" s="50"/>
      <c r="E60" s="50"/>
      <c r="F60" s="50"/>
      <c r="G60" s="51"/>
      <c r="H60" s="51"/>
      <c r="I60" s="51"/>
      <c r="J60" s="52"/>
      <c r="K60" s="47"/>
      <c r="L60" s="3"/>
    </row>
    <row r="61" spans="1:11" ht="15.75">
      <c r="A61" s="53"/>
      <c r="B61" s="54"/>
      <c r="C61" s="54"/>
      <c r="D61" s="54"/>
      <c r="E61" s="54"/>
      <c r="F61" s="54"/>
      <c r="G61" s="47"/>
      <c r="H61" s="47"/>
      <c r="I61" s="47"/>
      <c r="J61" s="58"/>
      <c r="K61" s="56"/>
    </row>
    <row r="62" spans="1:11" ht="12.75">
      <c r="A62" s="57" t="s">
        <v>5</v>
      </c>
      <c r="B62" s="13" t="s">
        <v>79</v>
      </c>
      <c r="C62" s="4"/>
      <c r="D62" s="4"/>
      <c r="E62" s="4"/>
      <c r="F62" s="4"/>
      <c r="G62" s="56"/>
      <c r="H62" s="56"/>
      <c r="I62" s="56"/>
      <c r="J62" s="58"/>
      <c r="K62" s="56"/>
    </row>
    <row r="63" spans="1:11" ht="12.75">
      <c r="A63" s="57" t="s">
        <v>27</v>
      </c>
      <c r="B63" s="4" t="s">
        <v>75</v>
      </c>
      <c r="C63" s="4"/>
      <c r="D63" s="4"/>
      <c r="E63" s="4"/>
      <c r="F63" s="4"/>
      <c r="G63" s="56"/>
      <c r="H63" s="56"/>
      <c r="I63" s="56"/>
      <c r="J63" s="58"/>
      <c r="K63" s="56"/>
    </row>
    <row r="64" spans="1:11" ht="12.75">
      <c r="A64" s="57" t="s">
        <v>28</v>
      </c>
      <c r="B64" s="13" t="s">
        <v>74</v>
      </c>
      <c r="C64" s="4"/>
      <c r="D64" s="4"/>
      <c r="E64" s="4"/>
      <c r="F64" s="4"/>
      <c r="G64" s="56"/>
      <c r="H64" s="56"/>
      <c r="I64" s="56"/>
      <c r="J64" s="58"/>
      <c r="K64" s="56"/>
    </row>
    <row r="65" spans="1:11" ht="12.75">
      <c r="A65" s="57" t="s">
        <v>14</v>
      </c>
      <c r="B65" s="198" t="s">
        <v>141</v>
      </c>
      <c r="D65" s="4"/>
      <c r="E65" s="4"/>
      <c r="F65" s="4"/>
      <c r="G65" s="56"/>
      <c r="H65" s="56"/>
      <c r="I65" s="56"/>
      <c r="J65" s="58"/>
      <c r="K65" s="56"/>
    </row>
    <row r="66" spans="1:10" ht="12.75">
      <c r="A66" s="59" t="s">
        <v>26</v>
      </c>
      <c r="B66" s="60" t="s">
        <v>80</v>
      </c>
      <c r="C66" s="5"/>
      <c r="D66" s="5"/>
      <c r="E66" s="5"/>
      <c r="F66" s="5"/>
      <c r="G66" s="61"/>
      <c r="H66" s="61"/>
      <c r="I66" s="61"/>
      <c r="J66" s="199"/>
    </row>
    <row r="68" spans="6:7" ht="12.75">
      <c r="F68" s="3"/>
      <c r="G68" s="3"/>
    </row>
  </sheetData>
  <sheetProtection sheet="1"/>
  <mergeCells count="6">
    <mergeCell ref="A1:J1"/>
    <mergeCell ref="B35:C35"/>
    <mergeCell ref="E18:F18"/>
    <mergeCell ref="E19:F19"/>
    <mergeCell ref="E17:F17"/>
    <mergeCell ref="H21:H27"/>
  </mergeCells>
  <conditionalFormatting sqref="C13">
    <cfRule type="expression" priority="1" dxfId="1" stopIfTrue="1">
      <formula>A41="N/A - Clear Name Plate HP"</formula>
    </cfRule>
    <cfRule type="expression" priority="2" dxfId="0" stopIfTrue="1">
      <formula>A41&lt;&gt;"N/A - Clear Name Plate HP"</formula>
    </cfRule>
  </conditionalFormatting>
  <conditionalFormatting sqref="F42:F54 A41:E54 H41:J54">
    <cfRule type="expression" priority="3" dxfId="1" stopIfTrue="1">
      <formula>$A$41="N/A - Clear Name Plate HP"</formula>
    </cfRule>
    <cfRule type="expression" priority="4" dxfId="4" stopIfTrue="1">
      <formula>$A$41&lt;&gt;"N/A - Clear Name Plate HP"</formula>
    </cfRule>
  </conditionalFormatting>
  <conditionalFormatting sqref="F41">
    <cfRule type="expression" priority="5" dxfId="1" stopIfTrue="1">
      <formula>$A$41="N/A - Clear Name Plate HP"</formula>
    </cfRule>
    <cfRule type="expression" priority="6" dxfId="0" stopIfTrue="1">
      <formula>$A$41&lt;&gt;"N/A - Clear Name Plate HP"</formula>
    </cfRule>
  </conditionalFormatting>
  <conditionalFormatting sqref="C14">
    <cfRule type="expression" priority="7" dxfId="1" stopIfTrue="1">
      <formula>A43="N/A - Clear Name Plate HP"</formula>
    </cfRule>
    <cfRule type="expression" priority="8" dxfId="0" stopIfTrue="1">
      <formula>A43&lt;&gt;"N/A - Clear Name Plate HP"</formula>
    </cfRule>
  </conditionalFormatting>
  <dataValidations count="1">
    <dataValidation allowBlank="1" showErrorMessage="1" promptTitle="Lift OR BHP" prompt="Enter Lift OR select the BHP from dropdown list. &#10;To enable BHP dropdown, clear Lift (ft) entry." sqref="E10"/>
  </dataValidations>
  <printOptions horizontalCentered="1"/>
  <pageMargins left="0.5" right="0.5" top="0.5" bottom="0.5" header="0.5" footer="0.5"/>
  <pageSetup fitToHeight="1" fitToWidth="1" horizontalDpi="600" verticalDpi="600" orientation="portrait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00"/>
  <sheetViews>
    <sheetView showGridLines="0"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25.00390625" style="62" bestFit="1" customWidth="1"/>
    <col min="2" max="3" width="9.140625" style="2" customWidth="1"/>
    <col min="4" max="4" width="11.00390625" style="2" customWidth="1"/>
    <col min="5" max="5" width="10.00390625" style="2" customWidth="1"/>
    <col min="6" max="6" width="11.7109375" style="2" customWidth="1"/>
    <col min="7" max="7" width="11.8515625" style="2" customWidth="1"/>
    <col min="8" max="8" width="13.57421875" style="2" customWidth="1"/>
    <col min="9" max="9" width="7.28125" style="2" customWidth="1"/>
    <col min="10" max="16384" width="9.140625" style="2" customWidth="1"/>
  </cols>
  <sheetData>
    <row r="1" spans="1:8" ht="24" customHeight="1">
      <c r="A1" s="62" t="s">
        <v>66</v>
      </c>
      <c r="B1" s="63" t="s">
        <v>58</v>
      </c>
      <c r="C1" s="29" t="s">
        <v>59</v>
      </c>
      <c r="D1" s="29" t="s">
        <v>61</v>
      </c>
      <c r="E1" s="64" t="s">
        <v>67</v>
      </c>
      <c r="F1" s="65" t="s">
        <v>60</v>
      </c>
      <c r="G1" s="64" t="s">
        <v>68</v>
      </c>
      <c r="H1" s="66" t="s">
        <v>69</v>
      </c>
    </row>
    <row r="2" spans="2:8" ht="12.75">
      <c r="B2" s="67" t="s">
        <v>30</v>
      </c>
      <c r="C2" s="68" t="s">
        <v>55</v>
      </c>
      <c r="D2" s="69">
        <f>IF(Inputs!C14="",12.5,Inputs!C14/0.82*12.5)</f>
        <v>12.5</v>
      </c>
      <c r="E2" s="70">
        <v>3.75</v>
      </c>
      <c r="F2" s="71">
        <v>20</v>
      </c>
      <c r="G2" s="69">
        <v>900</v>
      </c>
      <c r="H2" s="72">
        <v>4000</v>
      </c>
    </row>
    <row r="3" spans="2:8" ht="12.75">
      <c r="B3" s="67" t="s">
        <v>118</v>
      </c>
      <c r="C3" s="68" t="s">
        <v>56</v>
      </c>
      <c r="D3" s="69">
        <f>IF(Inputs!C14="",61.7,Inputs!C14/0.82*61.7)</f>
        <v>61.7</v>
      </c>
      <c r="E3" s="70">
        <v>2.4</v>
      </c>
      <c r="F3" s="71">
        <v>40</v>
      </c>
      <c r="G3" s="69">
        <v>800</v>
      </c>
      <c r="H3" s="72">
        <v>4000</v>
      </c>
    </row>
    <row r="4" spans="1:8" ht="12.75">
      <c r="A4" s="79" t="s">
        <v>78</v>
      </c>
      <c r="B4" s="67" t="s">
        <v>31</v>
      </c>
      <c r="C4" s="68" t="s">
        <v>55</v>
      </c>
      <c r="D4" s="69">
        <f>IF(Inputs!C14="",6.89,Inputs!C14/0.82*6.89)</f>
        <v>6.89</v>
      </c>
      <c r="E4" s="70">
        <v>2.4</v>
      </c>
      <c r="F4" s="71">
        <v>40</v>
      </c>
      <c r="G4" s="69">
        <v>800</v>
      </c>
      <c r="H4" s="72">
        <v>4000</v>
      </c>
    </row>
    <row r="5" spans="1:8" ht="12.75">
      <c r="A5" s="79" t="s">
        <v>15</v>
      </c>
      <c r="B5" s="67" t="s">
        <v>84</v>
      </c>
      <c r="C5" s="68" t="s">
        <v>77</v>
      </c>
      <c r="D5" s="69">
        <f>IF(Inputs!C14="",0.885,Inputs!C14/0.82*0.885)</f>
        <v>0.885</v>
      </c>
      <c r="E5" s="70">
        <v>0.62</v>
      </c>
      <c r="F5" s="71">
        <v>20</v>
      </c>
      <c r="G5" s="69"/>
      <c r="H5" s="72">
        <v>4000</v>
      </c>
    </row>
    <row r="6" spans="2:8" ht="12.75">
      <c r="B6" s="67" t="s">
        <v>33</v>
      </c>
      <c r="C6" s="68" t="s">
        <v>55</v>
      </c>
      <c r="D6" s="69">
        <f>IF(Inputs!C14="",8.66,Inputs!C14/0.82*8.66)</f>
        <v>8.66</v>
      </c>
      <c r="E6" s="70">
        <v>3.15</v>
      </c>
      <c r="F6" s="71">
        <v>40</v>
      </c>
      <c r="G6" s="69">
        <v>800</v>
      </c>
      <c r="H6" s="72">
        <v>4000</v>
      </c>
    </row>
    <row r="7" ht="12.75">
      <c r="C7" s="3"/>
    </row>
    <row r="8" spans="1:4" ht="12.75">
      <c r="A8" s="62" t="s">
        <v>10</v>
      </c>
      <c r="B8" s="17" t="s">
        <v>7</v>
      </c>
      <c r="C8" s="73" t="s">
        <v>11</v>
      </c>
      <c r="D8" s="7" t="s">
        <v>12</v>
      </c>
    </row>
    <row r="9" spans="1:4" ht="12.75">
      <c r="A9" s="74">
        <v>0</v>
      </c>
      <c r="B9" s="55">
        <v>500</v>
      </c>
      <c r="C9" s="68">
        <v>1161</v>
      </c>
      <c r="D9" s="6">
        <v>386</v>
      </c>
    </row>
    <row r="10" spans="1:4" ht="12.75">
      <c r="A10" s="74">
        <v>501</v>
      </c>
      <c r="B10" s="55">
        <v>850</v>
      </c>
      <c r="C10" s="68">
        <v>1347</v>
      </c>
      <c r="D10" s="6">
        <v>497</v>
      </c>
    </row>
    <row r="11" spans="1:4" ht="12.75">
      <c r="A11" s="74">
        <v>851</v>
      </c>
      <c r="B11" s="55">
        <v>1200</v>
      </c>
      <c r="C11" s="68">
        <v>1401</v>
      </c>
      <c r="D11" s="6">
        <v>499</v>
      </c>
    </row>
    <row r="12" spans="1:4" ht="12.75">
      <c r="A12" s="74">
        <v>1201</v>
      </c>
      <c r="B12" s="55">
        <v>2100</v>
      </c>
      <c r="C12" s="68">
        <v>1769</v>
      </c>
      <c r="D12" s="6">
        <v>824</v>
      </c>
    </row>
    <row r="13" spans="1:4" ht="12.75">
      <c r="A13" s="74">
        <v>2101</v>
      </c>
      <c r="B13" s="55">
        <v>2100</v>
      </c>
      <c r="C13" s="68">
        <v>0</v>
      </c>
      <c r="D13" s="6">
        <v>0</v>
      </c>
    </row>
    <row r="15" spans="1:3" ht="12.75">
      <c r="A15" s="62" t="s">
        <v>13</v>
      </c>
      <c r="B15" s="17" t="s">
        <v>14</v>
      </c>
      <c r="C15" s="7" t="s">
        <v>15</v>
      </c>
    </row>
    <row r="16" spans="1:3" ht="12.75">
      <c r="A16" s="74">
        <v>0</v>
      </c>
      <c r="B16" s="55">
        <v>20</v>
      </c>
      <c r="C16" s="72">
        <v>1415</v>
      </c>
    </row>
    <row r="17" spans="1:3" ht="12.75">
      <c r="A17" s="74">
        <v>21</v>
      </c>
      <c r="B17" s="55">
        <v>40</v>
      </c>
      <c r="C17" s="72">
        <v>1715</v>
      </c>
    </row>
    <row r="18" spans="1:3" ht="12.75">
      <c r="A18" s="74">
        <v>41</v>
      </c>
      <c r="B18" s="55">
        <v>60</v>
      </c>
      <c r="C18" s="72">
        <v>1895</v>
      </c>
    </row>
    <row r="19" spans="1:3" ht="12.75">
      <c r="A19" s="74">
        <v>61</v>
      </c>
      <c r="B19" s="55">
        <v>80</v>
      </c>
      <c r="C19" s="72">
        <v>2085</v>
      </c>
    </row>
    <row r="20" spans="1:3" ht="12.75">
      <c r="A20" s="74">
        <v>81</v>
      </c>
      <c r="B20" s="55">
        <v>100</v>
      </c>
      <c r="C20" s="72">
        <v>2195</v>
      </c>
    </row>
    <row r="21" spans="1:3" ht="12.75">
      <c r="A21" s="74">
        <v>101</v>
      </c>
      <c r="B21" s="55">
        <v>125</v>
      </c>
      <c r="C21" s="72">
        <v>2411</v>
      </c>
    </row>
    <row r="22" spans="1:3" ht="12.75">
      <c r="A22" s="74">
        <v>126</v>
      </c>
      <c r="B22" s="55">
        <v>150</v>
      </c>
      <c r="C22" s="72">
        <v>2861</v>
      </c>
    </row>
    <row r="23" spans="1:3" ht="12.75">
      <c r="A23" s="74">
        <v>151</v>
      </c>
      <c r="B23" s="55">
        <v>200</v>
      </c>
      <c r="C23" s="72">
        <v>3510</v>
      </c>
    </row>
    <row r="25" spans="1:5" ht="12.75">
      <c r="A25" s="62" t="s">
        <v>16</v>
      </c>
      <c r="B25" s="17" t="s">
        <v>17</v>
      </c>
      <c r="C25" s="7" t="s">
        <v>15</v>
      </c>
      <c r="D25" s="3"/>
      <c r="E25" s="3" t="s">
        <v>62</v>
      </c>
    </row>
    <row r="26" spans="1:5" ht="12.75">
      <c r="A26" s="74">
        <v>0</v>
      </c>
      <c r="B26" s="55">
        <v>600</v>
      </c>
      <c r="C26" s="72">
        <v>1433</v>
      </c>
      <c r="D26" s="3"/>
      <c r="E26" s="75">
        <v>250</v>
      </c>
    </row>
    <row r="27" spans="1:5" ht="12.75">
      <c r="A27" s="74">
        <v>601</v>
      </c>
      <c r="B27" s="55">
        <v>1050</v>
      </c>
      <c r="C27" s="72">
        <v>1433</v>
      </c>
      <c r="D27" s="3"/>
      <c r="E27" s="3"/>
    </row>
    <row r="28" spans="1:5" ht="12.75">
      <c r="A28" s="74">
        <v>1051</v>
      </c>
      <c r="B28" s="55">
        <v>2100</v>
      </c>
      <c r="C28" s="72">
        <v>1768</v>
      </c>
      <c r="D28" s="3"/>
      <c r="E28" s="3"/>
    </row>
    <row r="30" spans="1:5" ht="12.75">
      <c r="A30" s="62" t="s">
        <v>9</v>
      </c>
      <c r="B30" s="75">
        <v>2375</v>
      </c>
      <c r="C30" s="3"/>
      <c r="D30" s="3"/>
      <c r="E30" s="3"/>
    </row>
    <row r="31" spans="2:5" ht="12.75">
      <c r="B31" s="3"/>
      <c r="C31" s="3"/>
      <c r="D31" s="3"/>
      <c r="E31" s="3"/>
    </row>
    <row r="32" spans="1:5" ht="12.75">
      <c r="A32" s="62" t="s">
        <v>18</v>
      </c>
      <c r="B32" s="17" t="s">
        <v>14</v>
      </c>
      <c r="C32" s="7" t="s">
        <v>15</v>
      </c>
      <c r="D32" s="3"/>
      <c r="E32" s="3"/>
    </row>
    <row r="33" spans="1:5" ht="12.75">
      <c r="A33" s="74">
        <v>0</v>
      </c>
      <c r="B33" s="55">
        <v>25</v>
      </c>
      <c r="C33" s="72">
        <v>830</v>
      </c>
      <c r="D33" s="3"/>
      <c r="E33" s="3"/>
    </row>
    <row r="34" spans="1:13" ht="12.75">
      <c r="A34" s="74">
        <v>26</v>
      </c>
      <c r="B34" s="55">
        <v>30</v>
      </c>
      <c r="C34" s="72">
        <v>933</v>
      </c>
      <c r="D34" s="3"/>
      <c r="E34" s="3"/>
      <c r="I34" s="11"/>
      <c r="M34" s="54"/>
    </row>
    <row r="35" spans="1:9" ht="12.75">
      <c r="A35" s="74">
        <v>31</v>
      </c>
      <c r="B35" s="55">
        <v>40</v>
      </c>
      <c r="C35" s="72">
        <v>933</v>
      </c>
      <c r="D35" s="3"/>
      <c r="E35" s="3"/>
      <c r="I35" s="11"/>
    </row>
    <row r="36" spans="1:9" ht="12.75">
      <c r="A36" s="74">
        <v>41</v>
      </c>
      <c r="B36" s="55">
        <v>50</v>
      </c>
      <c r="C36" s="72">
        <v>933</v>
      </c>
      <c r="D36" s="3"/>
      <c r="E36" s="3"/>
      <c r="I36" s="11"/>
    </row>
    <row r="37" spans="1:9" ht="12.75">
      <c r="A37" s="74">
        <v>51</v>
      </c>
      <c r="B37" s="55">
        <v>60</v>
      </c>
      <c r="C37" s="72">
        <v>1825</v>
      </c>
      <c r="D37" s="3"/>
      <c r="E37" s="3"/>
      <c r="I37" s="11"/>
    </row>
    <row r="38" spans="1:9" ht="12.75">
      <c r="A38" s="74">
        <v>61</v>
      </c>
      <c r="B38" s="55">
        <v>75</v>
      </c>
      <c r="C38" s="72">
        <v>1825</v>
      </c>
      <c r="D38" s="3"/>
      <c r="E38" s="3"/>
      <c r="I38" s="11"/>
    </row>
    <row r="39" spans="1:5" ht="12.75">
      <c r="A39" s="74">
        <v>76</v>
      </c>
      <c r="B39" s="55">
        <v>100</v>
      </c>
      <c r="C39" s="72">
        <v>1825</v>
      </c>
      <c r="D39" s="3"/>
      <c r="E39" s="3"/>
    </row>
    <row r="40" spans="1:5" ht="12.75">
      <c r="A40" s="74">
        <v>101</v>
      </c>
      <c r="B40" s="55">
        <v>125</v>
      </c>
      <c r="C40" s="72">
        <v>3705</v>
      </c>
      <c r="D40" s="3"/>
      <c r="E40" s="3"/>
    </row>
    <row r="41" spans="1:5" ht="12.75">
      <c r="A41" s="74">
        <v>126</v>
      </c>
      <c r="B41" s="55">
        <v>150</v>
      </c>
      <c r="C41" s="72">
        <v>3705</v>
      </c>
      <c r="D41" s="3"/>
      <c r="E41" s="3"/>
    </row>
    <row r="42" spans="2:5" ht="12.75">
      <c r="B42" s="3"/>
      <c r="C42" s="3"/>
      <c r="D42" s="3"/>
      <c r="E42" s="3"/>
    </row>
    <row r="43" spans="1:5" ht="12.75">
      <c r="A43" s="62" t="s">
        <v>19</v>
      </c>
      <c r="B43" s="17" t="s">
        <v>14</v>
      </c>
      <c r="C43" s="7" t="s">
        <v>15</v>
      </c>
      <c r="D43" s="3"/>
      <c r="E43" s="3" t="s">
        <v>20</v>
      </c>
    </row>
    <row r="44" spans="1:5" ht="12.75">
      <c r="A44" s="74">
        <v>0</v>
      </c>
      <c r="B44" s="55">
        <v>25</v>
      </c>
      <c r="C44" s="72">
        <v>1324</v>
      </c>
      <c r="D44" s="3"/>
      <c r="E44" s="75">
        <v>4854</v>
      </c>
    </row>
    <row r="45" spans="1:5" ht="12.75">
      <c r="A45" s="74">
        <v>26</v>
      </c>
      <c r="B45" s="55">
        <v>30</v>
      </c>
      <c r="C45" s="72">
        <v>1469</v>
      </c>
      <c r="D45" s="3"/>
      <c r="E45" s="3"/>
    </row>
    <row r="46" spans="1:5" ht="12.75">
      <c r="A46" s="74">
        <v>31</v>
      </c>
      <c r="B46" s="55">
        <v>40</v>
      </c>
      <c r="C46" s="72">
        <v>1449</v>
      </c>
      <c r="D46" s="3"/>
      <c r="E46" s="3"/>
    </row>
    <row r="47" spans="1:5" ht="12.75">
      <c r="A47" s="74">
        <v>41</v>
      </c>
      <c r="B47" s="55">
        <v>50</v>
      </c>
      <c r="C47" s="72">
        <v>1510</v>
      </c>
      <c r="D47" s="3"/>
      <c r="E47" s="3"/>
    </row>
    <row r="48" spans="1:5" ht="12.75">
      <c r="A48" s="74">
        <v>51</v>
      </c>
      <c r="B48" s="55">
        <v>60</v>
      </c>
      <c r="C48" s="72">
        <v>1964</v>
      </c>
      <c r="D48" s="3"/>
      <c r="E48" s="3"/>
    </row>
    <row r="49" spans="1:5" ht="12.75">
      <c r="A49" s="74">
        <v>61</v>
      </c>
      <c r="B49" s="55">
        <v>75</v>
      </c>
      <c r="C49" s="72">
        <v>1990</v>
      </c>
      <c r="D49" s="3"/>
      <c r="E49" s="3"/>
    </row>
    <row r="50" spans="1:5" ht="12.75">
      <c r="A50" s="74">
        <v>76</v>
      </c>
      <c r="B50" s="55">
        <v>100</v>
      </c>
      <c r="C50" s="72">
        <v>2115</v>
      </c>
      <c r="D50" s="3"/>
      <c r="E50" s="3"/>
    </row>
    <row r="51" spans="1:5" ht="12.75">
      <c r="A51" s="74">
        <v>101</v>
      </c>
      <c r="B51" s="55">
        <v>125</v>
      </c>
      <c r="C51" s="72">
        <v>2230</v>
      </c>
      <c r="D51" s="3"/>
      <c r="E51" s="3"/>
    </row>
    <row r="52" spans="1:5" ht="12.75">
      <c r="A52" s="74">
        <v>126</v>
      </c>
      <c r="B52" s="55">
        <v>150</v>
      </c>
      <c r="C52" s="72">
        <v>2270</v>
      </c>
      <c r="D52" s="3"/>
      <c r="E52" s="3"/>
    </row>
    <row r="53" spans="2:5" ht="12.75">
      <c r="B53" s="3"/>
      <c r="C53" s="3"/>
      <c r="D53" s="3"/>
      <c r="E53" s="3"/>
    </row>
    <row r="54" spans="1:8" ht="12.75">
      <c r="A54" s="62" t="s">
        <v>21</v>
      </c>
      <c r="B54" s="17" t="s">
        <v>14</v>
      </c>
      <c r="C54" s="7" t="s">
        <v>15</v>
      </c>
      <c r="D54" s="3"/>
      <c r="E54" s="3" t="s">
        <v>35</v>
      </c>
      <c r="G54" s="54"/>
      <c r="H54" s="54"/>
    </row>
    <row r="55" spans="1:8" ht="12.75">
      <c r="A55" s="74">
        <v>0</v>
      </c>
      <c r="B55" s="55">
        <v>80</v>
      </c>
      <c r="C55" s="72">
        <v>7707</v>
      </c>
      <c r="D55" s="3"/>
      <c r="E55" s="75">
        <v>2100</v>
      </c>
      <c r="G55" s="54"/>
      <c r="H55" s="76"/>
    </row>
    <row r="56" spans="1:14" ht="12.75">
      <c r="A56" s="74">
        <f>+B55+1</f>
        <v>81</v>
      </c>
      <c r="B56" s="55">
        <v>105</v>
      </c>
      <c r="C56" s="72">
        <v>9175</v>
      </c>
      <c r="D56" s="3"/>
      <c r="E56" s="3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74">
        <f aca="true" t="shared" si="0" ref="A57:A62">+B56+1</f>
        <v>106</v>
      </c>
      <c r="B57" s="55">
        <v>120</v>
      </c>
      <c r="C57" s="72">
        <v>10195</v>
      </c>
      <c r="D57" s="3"/>
      <c r="E57" s="77" t="s">
        <v>34</v>
      </c>
      <c r="H57" s="54"/>
      <c r="I57" s="54"/>
      <c r="J57" s="54"/>
      <c r="K57" s="54"/>
      <c r="L57" s="54"/>
      <c r="M57" s="54"/>
      <c r="N57" s="54"/>
    </row>
    <row r="58" spans="1:14" ht="12.75">
      <c r="A58" s="74">
        <f t="shared" si="0"/>
        <v>121</v>
      </c>
      <c r="B58" s="55">
        <v>150</v>
      </c>
      <c r="C58" s="72">
        <v>11534</v>
      </c>
      <c r="D58" s="3"/>
      <c r="E58" s="75">
        <v>525</v>
      </c>
      <c r="H58" s="54"/>
      <c r="I58" s="54"/>
      <c r="J58" s="54"/>
      <c r="K58" s="54"/>
      <c r="L58" s="54"/>
      <c r="M58" s="54"/>
      <c r="N58" s="54"/>
    </row>
    <row r="59" spans="1:14" ht="12.75">
      <c r="A59" s="74">
        <f t="shared" si="0"/>
        <v>151</v>
      </c>
      <c r="B59" s="55">
        <v>180</v>
      </c>
      <c r="C59" s="72">
        <v>12811</v>
      </c>
      <c r="D59" s="3"/>
      <c r="E59" s="3"/>
      <c r="H59" s="54"/>
      <c r="I59" s="54"/>
      <c r="J59" s="54"/>
      <c r="K59" s="54"/>
      <c r="L59" s="54"/>
      <c r="M59" s="54"/>
      <c r="N59" s="54"/>
    </row>
    <row r="60" spans="1:14" ht="12.75">
      <c r="A60" s="74">
        <f t="shared" si="0"/>
        <v>181</v>
      </c>
      <c r="B60" s="55">
        <v>200</v>
      </c>
      <c r="C60" s="72">
        <v>15396</v>
      </c>
      <c r="D60" s="3"/>
      <c r="E60" s="3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74">
        <f t="shared" si="0"/>
        <v>201</v>
      </c>
      <c r="B61" s="55">
        <v>250</v>
      </c>
      <c r="C61" s="72">
        <v>17379</v>
      </c>
      <c r="D61" s="3"/>
      <c r="E61" s="3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74">
        <f t="shared" si="0"/>
        <v>251</v>
      </c>
      <c r="B62" s="55">
        <v>320</v>
      </c>
      <c r="C62" s="72">
        <v>22236</v>
      </c>
      <c r="D62" s="3"/>
      <c r="E62" s="3"/>
      <c r="F62" s="54"/>
      <c r="G62" s="54"/>
      <c r="H62" s="54"/>
      <c r="I62" s="54"/>
      <c r="J62" s="54"/>
      <c r="K62" s="54"/>
      <c r="L62" s="54"/>
      <c r="M62" s="54"/>
      <c r="N62" s="54"/>
    </row>
    <row r="63" spans="2:14" ht="12.75">
      <c r="B63" s="3"/>
      <c r="C63" s="3"/>
      <c r="D63" s="3"/>
      <c r="E63" s="3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62" t="s">
        <v>22</v>
      </c>
      <c r="B64" s="17" t="s">
        <v>14</v>
      </c>
      <c r="C64" s="7" t="s">
        <v>15</v>
      </c>
      <c r="D64" s="3"/>
      <c r="E64" s="3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74">
        <v>0</v>
      </c>
      <c r="B65" s="55">
        <v>70</v>
      </c>
      <c r="C65" s="72">
        <v>4599</v>
      </c>
      <c r="D65" s="3"/>
      <c r="E65" s="3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74">
        <v>71</v>
      </c>
      <c r="B66" s="55">
        <v>95</v>
      </c>
      <c r="C66" s="72">
        <v>5351</v>
      </c>
      <c r="D66" s="3"/>
      <c r="E66" s="3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74">
        <v>96</v>
      </c>
      <c r="B67" s="55">
        <v>125</v>
      </c>
      <c r="C67" s="72">
        <v>5948</v>
      </c>
      <c r="D67" s="3"/>
      <c r="E67" s="3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74">
        <v>126</v>
      </c>
      <c r="B68" s="55">
        <v>140</v>
      </c>
      <c r="C68" s="72">
        <v>9168</v>
      </c>
      <c r="D68" s="3"/>
      <c r="E68" s="3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74">
        <v>141</v>
      </c>
      <c r="B69" s="55">
        <v>190</v>
      </c>
      <c r="C69" s="72">
        <v>10702</v>
      </c>
      <c r="D69" s="3"/>
      <c r="E69" s="3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74">
        <v>191</v>
      </c>
      <c r="B70" s="55">
        <v>250</v>
      </c>
      <c r="C70" s="72">
        <v>11897</v>
      </c>
      <c r="D70" s="3"/>
      <c r="E70" s="3"/>
      <c r="F70" s="54"/>
      <c r="G70" s="54"/>
      <c r="H70" s="54"/>
      <c r="I70" s="54"/>
      <c r="J70" s="54"/>
      <c r="K70" s="54"/>
      <c r="L70" s="54"/>
      <c r="M70" s="54"/>
      <c r="N70" s="54"/>
    </row>
    <row r="71" spans="2:13" ht="12.75">
      <c r="B71" s="3"/>
      <c r="C71" s="3"/>
      <c r="D71" s="3"/>
      <c r="E71" s="3"/>
      <c r="F71" s="54"/>
      <c r="G71" s="54"/>
      <c r="H71" s="54"/>
      <c r="I71" s="54"/>
      <c r="J71" s="54"/>
      <c r="K71" s="54"/>
      <c r="L71" s="54"/>
      <c r="M71" s="54"/>
    </row>
    <row r="72" spans="1:13" ht="12.75">
      <c r="A72" s="62" t="s">
        <v>23</v>
      </c>
      <c r="B72" s="17" t="s">
        <v>14</v>
      </c>
      <c r="C72" s="7" t="s">
        <v>15</v>
      </c>
      <c r="D72" s="3"/>
      <c r="E72" s="3"/>
      <c r="F72" s="54"/>
      <c r="G72" s="54"/>
      <c r="H72" s="54"/>
      <c r="I72" s="54"/>
      <c r="J72" s="54"/>
      <c r="K72" s="54"/>
      <c r="L72" s="54"/>
      <c r="M72" s="54"/>
    </row>
    <row r="73" spans="1:13" ht="12.75">
      <c r="A73" s="74">
        <v>0</v>
      </c>
      <c r="B73" s="55">
        <v>70</v>
      </c>
      <c r="C73" s="72">
        <v>4712</v>
      </c>
      <c r="D73" s="3"/>
      <c r="E73" s="3"/>
      <c r="F73" s="54"/>
      <c r="G73" s="54"/>
      <c r="H73" s="54"/>
      <c r="I73" s="54"/>
      <c r="J73" s="54"/>
      <c r="K73" s="54"/>
      <c r="L73" s="54"/>
      <c r="M73" s="54"/>
    </row>
    <row r="74" spans="1:13" ht="12.75">
      <c r="A74" s="74">
        <v>71</v>
      </c>
      <c r="B74" s="55">
        <v>95</v>
      </c>
      <c r="C74" s="72">
        <v>5531</v>
      </c>
      <c r="D74" s="3"/>
      <c r="E74" s="3"/>
      <c r="F74" s="54"/>
      <c r="G74" s="54"/>
      <c r="H74" s="54"/>
      <c r="I74" s="54"/>
      <c r="J74" s="54"/>
      <c r="K74" s="54"/>
      <c r="L74" s="54"/>
      <c r="M74" s="54"/>
    </row>
    <row r="75" spans="1:5" ht="12.75">
      <c r="A75" s="74">
        <v>96</v>
      </c>
      <c r="B75" s="55">
        <v>125</v>
      </c>
      <c r="C75" s="72">
        <v>6123</v>
      </c>
      <c r="D75" s="3"/>
      <c r="E75" s="3"/>
    </row>
    <row r="76" spans="1:5" ht="12.75">
      <c r="A76" s="74">
        <v>126</v>
      </c>
      <c r="B76" s="55">
        <v>140</v>
      </c>
      <c r="C76" s="72">
        <v>9425</v>
      </c>
      <c r="D76" s="3"/>
      <c r="E76" s="3"/>
    </row>
    <row r="77" spans="1:5" ht="12.75">
      <c r="A77" s="74">
        <v>141</v>
      </c>
      <c r="B77" s="55">
        <v>190</v>
      </c>
      <c r="C77" s="72">
        <v>11062</v>
      </c>
      <c r="D77" s="3"/>
      <c r="E77" s="3"/>
    </row>
    <row r="78" spans="1:5" ht="12.75">
      <c r="A78" s="74">
        <v>191</v>
      </c>
      <c r="B78" s="55">
        <v>250</v>
      </c>
      <c r="C78" s="72">
        <v>12247</v>
      </c>
      <c r="D78" s="3"/>
      <c r="E78" s="3"/>
    </row>
    <row r="79" spans="2:5" ht="12.75">
      <c r="B79" s="3"/>
      <c r="C79" s="3"/>
      <c r="D79" s="3"/>
      <c r="E79" s="3"/>
    </row>
    <row r="80" spans="1:5" ht="12.75">
      <c r="A80" s="62" t="s">
        <v>24</v>
      </c>
      <c r="B80" s="17" t="s">
        <v>14</v>
      </c>
      <c r="C80" s="7" t="s">
        <v>15</v>
      </c>
      <c r="D80" s="3"/>
      <c r="E80" s="3"/>
    </row>
    <row r="81" spans="1:5" ht="12.75">
      <c r="A81" s="74">
        <v>0</v>
      </c>
      <c r="B81" s="55">
        <v>20</v>
      </c>
      <c r="C81" s="72">
        <v>1575</v>
      </c>
      <c r="D81" s="3"/>
      <c r="E81" s="3"/>
    </row>
    <row r="82" spans="1:5" ht="12.75">
      <c r="A82" s="74">
        <v>21</v>
      </c>
      <c r="B82" s="55">
        <v>25</v>
      </c>
      <c r="C82" s="72">
        <v>1757</v>
      </c>
      <c r="D82" s="3"/>
      <c r="E82" s="3"/>
    </row>
    <row r="83" spans="1:5" ht="12.75">
      <c r="A83" s="74">
        <v>26</v>
      </c>
      <c r="B83" s="55">
        <v>30</v>
      </c>
      <c r="C83" s="72">
        <v>1975</v>
      </c>
      <c r="D83" s="3"/>
      <c r="E83" s="3"/>
    </row>
    <row r="84" spans="1:5" ht="12.75">
      <c r="A84" s="74">
        <v>31</v>
      </c>
      <c r="B84" s="55">
        <v>40</v>
      </c>
      <c r="C84" s="72">
        <v>2295</v>
      </c>
      <c r="D84" s="3"/>
      <c r="E84" s="3"/>
    </row>
    <row r="85" spans="1:5" ht="12.75">
      <c r="A85" s="74">
        <v>41</v>
      </c>
      <c r="B85" s="55">
        <v>50</v>
      </c>
      <c r="C85" s="72">
        <v>2724</v>
      </c>
      <c r="D85" s="3"/>
      <c r="E85" s="3"/>
    </row>
    <row r="86" spans="1:5" ht="12.75">
      <c r="A86" s="74">
        <v>51</v>
      </c>
      <c r="B86" s="55">
        <v>60</v>
      </c>
      <c r="C86" s="72">
        <v>3145</v>
      </c>
      <c r="D86" s="3"/>
      <c r="E86" s="3"/>
    </row>
    <row r="87" spans="1:5" ht="12.75">
      <c r="A87" s="74">
        <v>61</v>
      </c>
      <c r="B87" s="55">
        <v>75</v>
      </c>
      <c r="C87" s="72">
        <v>3829</v>
      </c>
      <c r="D87" s="3"/>
      <c r="E87" s="3"/>
    </row>
    <row r="88" spans="1:5" ht="12.75">
      <c r="A88" s="74">
        <v>76</v>
      </c>
      <c r="B88" s="55">
        <v>100</v>
      </c>
      <c r="C88" s="72">
        <v>4837</v>
      </c>
      <c r="D88" s="3"/>
      <c r="E88" s="3"/>
    </row>
    <row r="89" spans="1:5" ht="12.75">
      <c r="A89" s="74">
        <v>101</v>
      </c>
      <c r="B89" s="55">
        <v>125</v>
      </c>
      <c r="C89" s="72">
        <v>5843</v>
      </c>
      <c r="D89" s="3"/>
      <c r="E89" s="3"/>
    </row>
    <row r="90" spans="1:5" ht="12.75">
      <c r="A90" s="74">
        <v>126</v>
      </c>
      <c r="B90" s="55">
        <v>150</v>
      </c>
      <c r="C90" s="72">
        <v>7380</v>
      </c>
      <c r="D90" s="3"/>
      <c r="E90" s="3"/>
    </row>
    <row r="91" spans="1:5" ht="12.75">
      <c r="A91" s="74">
        <v>151</v>
      </c>
      <c r="B91" s="55">
        <v>200</v>
      </c>
      <c r="C91" s="72">
        <v>10463</v>
      </c>
      <c r="D91" s="3"/>
      <c r="E91" s="3"/>
    </row>
    <row r="92" spans="2:5" ht="12.75">
      <c r="B92" s="3"/>
      <c r="C92" s="3"/>
      <c r="D92" s="3"/>
      <c r="E92" s="3"/>
    </row>
    <row r="93" spans="1:5" ht="12.75">
      <c r="A93" s="62" t="s">
        <v>25</v>
      </c>
      <c r="B93" s="17" t="s">
        <v>14</v>
      </c>
      <c r="C93" s="7" t="s">
        <v>15</v>
      </c>
      <c r="D93" s="3"/>
      <c r="E93" s="3"/>
    </row>
    <row r="94" spans="1:5" ht="12.75">
      <c r="A94" s="74">
        <v>0</v>
      </c>
      <c r="B94" s="55">
        <v>20</v>
      </c>
      <c r="C94" s="72">
        <v>4712</v>
      </c>
      <c r="D94" s="3"/>
      <c r="E94" s="3"/>
    </row>
    <row r="95" spans="1:5" ht="12.75">
      <c r="A95" s="74">
        <v>21</v>
      </c>
      <c r="B95" s="78">
        <v>35</v>
      </c>
      <c r="C95" s="72">
        <v>5531</v>
      </c>
      <c r="D95" s="3"/>
      <c r="E95" s="3"/>
    </row>
    <row r="96" spans="1:5" ht="12.75">
      <c r="A96" s="74">
        <v>36</v>
      </c>
      <c r="B96" s="78">
        <v>55</v>
      </c>
      <c r="C96" s="72">
        <v>6123</v>
      </c>
      <c r="D96" s="3"/>
      <c r="E96" s="3"/>
    </row>
    <row r="97" spans="1:5" ht="12.75">
      <c r="A97" s="74">
        <v>56</v>
      </c>
      <c r="B97" s="78">
        <v>70</v>
      </c>
      <c r="C97" s="72">
        <v>9425</v>
      </c>
      <c r="D97" s="3"/>
      <c r="E97" s="3"/>
    </row>
    <row r="98" spans="1:5" ht="12.75">
      <c r="A98" s="74">
        <v>71</v>
      </c>
      <c r="B98" s="78">
        <v>110</v>
      </c>
      <c r="C98" s="72">
        <v>11062</v>
      </c>
      <c r="D98" s="3"/>
      <c r="E98" s="3"/>
    </row>
    <row r="99" spans="1:5" ht="12.75">
      <c r="A99" s="74">
        <v>111</v>
      </c>
      <c r="B99" s="78">
        <v>145</v>
      </c>
      <c r="C99" s="72">
        <v>12247</v>
      </c>
      <c r="D99" s="3"/>
      <c r="E99" s="3"/>
    </row>
    <row r="100" ht="12.75">
      <c r="E100" s="3"/>
    </row>
  </sheetData>
  <sheetProtection sheet="1" objects="1" scenarios="1"/>
  <printOptions/>
  <pageMargins left="0.75" right="0.75" top="1" bottom="1" header="0.5" footer="0.5"/>
  <pageSetup fitToHeight="0" horizontalDpi="600" verticalDpi="600" orientation="portrait" scale="85" r:id="rId1"/>
  <headerFooter alignWithMargins="0">
    <oddHeader>&amp;CAppendix
Irrigation Energy Source Alternatives</oddHead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09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1.140625" style="155" bestFit="1" customWidth="1"/>
    <col min="2" max="2" width="17.8515625" style="109" bestFit="1" customWidth="1"/>
    <col min="3" max="3" width="9.140625" style="109" customWidth="1"/>
    <col min="4" max="4" width="15.7109375" style="155" customWidth="1"/>
    <col min="5" max="5" width="10.28125" style="155" customWidth="1"/>
    <col min="6" max="6" width="12.28125" style="147" bestFit="1" customWidth="1"/>
    <col min="7" max="16384" width="9.140625" style="109" customWidth="1"/>
  </cols>
  <sheetData>
    <row r="1" spans="1:4" ht="36" customHeight="1">
      <c r="A1" s="225" t="s">
        <v>109</v>
      </c>
      <c r="B1" s="225"/>
      <c r="C1" s="225"/>
      <c r="D1" s="225"/>
    </row>
    <row r="2" ht="12.75"/>
    <row r="3" ht="12.75"/>
    <row r="4" ht="12.75"/>
    <row r="5" spans="1:2" ht="12.75">
      <c r="A5" s="156" t="s">
        <v>88</v>
      </c>
      <c r="B5" s="110">
        <f>COUNTA(B8:B141)</f>
        <v>7</v>
      </c>
    </row>
    <row r="6" spans="4:6" ht="12.75">
      <c r="D6" s="200" t="s">
        <v>89</v>
      </c>
      <c r="E6" s="175"/>
      <c r="F6" s="202" t="s">
        <v>90</v>
      </c>
    </row>
    <row r="7" spans="1:6" s="110" customFormat="1" ht="12.75">
      <c r="A7" s="156"/>
      <c r="D7" s="201">
        <f>BHP</f>
        <v>0</v>
      </c>
      <c r="E7" s="176"/>
      <c r="F7" s="203">
        <f>NamePlateHP</f>
        <v>75</v>
      </c>
    </row>
    <row r="8" spans="1:6" s="110" customFormat="1" ht="12.75">
      <c r="A8" s="156" t="s">
        <v>91</v>
      </c>
      <c r="B8" s="113" t="s">
        <v>110</v>
      </c>
      <c r="D8" s="156"/>
      <c r="E8" s="177"/>
      <c r="F8" s="204"/>
    </row>
    <row r="9" spans="1:6" ht="12.75">
      <c r="A9" s="155" t="s">
        <v>92</v>
      </c>
      <c r="B9" s="111"/>
      <c r="D9" s="155">
        <f>AnnHours</f>
        <v>687</v>
      </c>
      <c r="E9" s="175"/>
      <c r="F9" s="147">
        <f>TtlHours</f>
        <v>687</v>
      </c>
    </row>
    <row r="10" spans="1:6" ht="12.75">
      <c r="A10" s="155" t="s">
        <v>93</v>
      </c>
      <c r="B10" s="111"/>
      <c r="D10" s="157">
        <f>WHP/'Look-up Tables'!D5</f>
        <v>55.367231638418076</v>
      </c>
      <c r="E10" s="178"/>
      <c r="F10" s="205">
        <f>kW</f>
        <v>55.367231638418076</v>
      </c>
    </row>
    <row r="11" spans="1:10" ht="12.75">
      <c r="A11" s="155" t="s">
        <v>94</v>
      </c>
      <c r="B11" s="111"/>
      <c r="D11" s="158">
        <f>D9*D10</f>
        <v>38037.28813559322</v>
      </c>
      <c r="E11" s="179"/>
      <c r="F11" s="206">
        <f>F9*F10</f>
        <v>38037.28813559322</v>
      </c>
      <c r="J11" s="136"/>
    </row>
    <row r="12" spans="2:6" ht="12.75">
      <c r="B12" s="111"/>
      <c r="C12" s="150" t="s">
        <v>129</v>
      </c>
      <c r="D12" s="159">
        <f>D20/D11</f>
        <v>0.08224329382407986</v>
      </c>
      <c r="E12" s="172"/>
      <c r="F12" s="207">
        <f>F20/F11</f>
        <v>0.08224329382407986</v>
      </c>
    </row>
    <row r="13" spans="1:6" ht="12.75">
      <c r="A13" s="155" t="s">
        <v>95</v>
      </c>
      <c r="B13" s="111"/>
      <c r="C13" s="150"/>
      <c r="D13" s="160"/>
      <c r="E13" s="160"/>
      <c r="F13" s="148"/>
    </row>
    <row r="14" spans="1:8" ht="12.75">
      <c r="A14" s="173" t="s">
        <v>133</v>
      </c>
      <c r="B14" s="111"/>
      <c r="C14" s="114"/>
      <c r="D14" s="161">
        <f>IF(D11&gt;35000,35000,D11)</f>
        <v>35000</v>
      </c>
      <c r="E14" s="161"/>
      <c r="F14" s="208">
        <f>IF(F11&gt;35000,35000,F11)</f>
        <v>35000</v>
      </c>
      <c r="G14" s="116"/>
      <c r="H14" s="117"/>
    </row>
    <row r="15" spans="1:8" ht="12.75">
      <c r="A15" s="173"/>
      <c r="B15" s="111"/>
      <c r="C15" s="118" t="s">
        <v>96</v>
      </c>
      <c r="D15" s="162">
        <v>0.084</v>
      </c>
      <c r="E15" s="172"/>
      <c r="F15" s="209">
        <f>D15</f>
        <v>0.084</v>
      </c>
      <c r="G15" s="115"/>
      <c r="H15" s="117"/>
    </row>
    <row r="16" spans="1:8" ht="12.75">
      <c r="A16" s="174"/>
      <c r="B16" s="111"/>
      <c r="C16" s="118"/>
      <c r="D16" s="163">
        <f>D14*D15</f>
        <v>2940</v>
      </c>
      <c r="E16" s="163"/>
      <c r="F16" s="210">
        <f>F14*F15</f>
        <v>2940</v>
      </c>
      <c r="G16" s="115"/>
      <c r="H16" s="117"/>
    </row>
    <row r="17" spans="1:8" ht="12.75">
      <c r="A17" s="155" t="s">
        <v>117</v>
      </c>
      <c r="B17" s="111"/>
      <c r="C17" s="114"/>
      <c r="D17" s="164">
        <f>IF(D11-D14&lt;1,0,D11-D14)</f>
        <v>3037.2881355932186</v>
      </c>
      <c r="E17" s="167"/>
      <c r="F17" s="211">
        <f>IF(F11-F14&lt;1,0,F11-F14)</f>
        <v>3037.2881355932186</v>
      </c>
      <c r="G17" s="117"/>
      <c r="H17" s="117"/>
    </row>
    <row r="18" spans="2:8" ht="12.75">
      <c r="B18" s="111"/>
      <c r="C18" s="118" t="s">
        <v>96</v>
      </c>
      <c r="D18" s="165">
        <v>0.062</v>
      </c>
      <c r="E18" s="167"/>
      <c r="F18" s="212">
        <v>0.062</v>
      </c>
      <c r="G18" s="117"/>
      <c r="H18" s="117"/>
    </row>
    <row r="19" spans="2:8" ht="12.75">
      <c r="B19" s="111"/>
      <c r="C19" s="114"/>
      <c r="D19" s="166">
        <f>D17*D18</f>
        <v>188.31186440677956</v>
      </c>
      <c r="E19" s="167"/>
      <c r="F19" s="213">
        <f>F17*F18</f>
        <v>188.31186440677956</v>
      </c>
      <c r="G19" s="117"/>
      <c r="H19" s="117"/>
    </row>
    <row r="20" spans="1:8" ht="12.75">
      <c r="A20" s="155" t="s">
        <v>97</v>
      </c>
      <c r="B20" s="111"/>
      <c r="C20" s="114"/>
      <c r="D20" s="166">
        <f>D16+D19</f>
        <v>3128.3118644067795</v>
      </c>
      <c r="E20" s="167"/>
      <c r="F20" s="213">
        <f>F16+F19</f>
        <v>3128.3118644067795</v>
      </c>
      <c r="G20" s="119"/>
      <c r="H20" s="117"/>
    </row>
    <row r="21" spans="1:8" ht="12.75">
      <c r="A21" s="155" t="s">
        <v>134</v>
      </c>
      <c r="B21" s="111"/>
      <c r="C21" s="114"/>
      <c r="D21" s="166">
        <v>39</v>
      </c>
      <c r="E21" s="167"/>
      <c r="F21" s="214">
        <v>39</v>
      </c>
      <c r="G21" s="119"/>
      <c r="H21" s="117"/>
    </row>
    <row r="22" spans="1:8" ht="12.75">
      <c r="A22" s="155" t="s">
        <v>135</v>
      </c>
      <c r="B22" s="111"/>
      <c r="C22" s="114"/>
      <c r="D22" s="166">
        <f>D21*kW</f>
        <v>2159.322033898305</v>
      </c>
      <c r="E22" s="167"/>
      <c r="F22" s="214">
        <f>F21*kW</f>
        <v>2159.322033898305</v>
      </c>
      <c r="G22" s="119"/>
      <c r="H22" s="117"/>
    </row>
    <row r="23" spans="1:8" ht="12.75">
      <c r="A23" s="175" t="s">
        <v>137</v>
      </c>
      <c r="B23" s="147"/>
      <c r="C23" s="148"/>
      <c r="D23" s="167">
        <v>62.5</v>
      </c>
      <c r="E23" s="167"/>
      <c r="F23" s="213">
        <v>62.5</v>
      </c>
      <c r="G23" s="119"/>
      <c r="H23" s="117"/>
    </row>
    <row r="24" spans="1:11" ht="12.75">
      <c r="A24" s="175" t="s">
        <v>116</v>
      </c>
      <c r="B24" s="147"/>
      <c r="C24" s="147"/>
      <c r="D24" s="168">
        <f>D23*NamePlateHP</f>
        <v>4687.5</v>
      </c>
      <c r="E24" s="168"/>
      <c r="F24" s="215">
        <f>F23*NamePlateHP</f>
        <v>4687.5</v>
      </c>
      <c r="G24" s="120"/>
      <c r="H24" s="120"/>
      <c r="I24" s="120"/>
      <c r="J24" s="120"/>
      <c r="K24" s="120"/>
    </row>
    <row r="25" spans="1:11" ht="12.75">
      <c r="A25" s="175" t="s">
        <v>138</v>
      </c>
      <c r="B25" s="147"/>
      <c r="C25" s="147"/>
      <c r="D25" s="167">
        <v>780</v>
      </c>
      <c r="E25" s="180"/>
      <c r="F25" s="213">
        <v>780</v>
      </c>
      <c r="G25" s="120"/>
      <c r="H25" s="120"/>
      <c r="I25" s="120"/>
      <c r="J25" s="120"/>
      <c r="K25" s="120"/>
    </row>
    <row r="26" spans="1:11" ht="12.75">
      <c r="A26" s="155" t="s">
        <v>136</v>
      </c>
      <c r="B26" s="111"/>
      <c r="D26" s="182">
        <f>D20+D22+D25</f>
        <v>6067.633898305085</v>
      </c>
      <c r="E26" s="169"/>
      <c r="F26" s="216">
        <f>F20+F22+F25</f>
        <v>6067.633898305085</v>
      </c>
      <c r="G26" s="120"/>
      <c r="H26" s="120"/>
      <c r="I26" s="120"/>
      <c r="J26" s="120"/>
      <c r="K26" s="120"/>
    </row>
    <row r="27" spans="1:6" s="110" customFormat="1" ht="12.75">
      <c r="A27" s="156"/>
      <c r="B27" s="112"/>
      <c r="D27" s="170"/>
      <c r="E27" s="156"/>
      <c r="F27" s="204"/>
    </row>
    <row r="28" spans="1:10" ht="12.75">
      <c r="A28" s="156" t="s">
        <v>98</v>
      </c>
      <c r="B28" s="131" t="s">
        <v>111</v>
      </c>
      <c r="C28" s="121"/>
      <c r="G28" s="120"/>
      <c r="H28" s="120"/>
      <c r="I28" s="120"/>
      <c r="J28" s="120"/>
    </row>
    <row r="29" spans="1:6" ht="12.75">
      <c r="A29" s="155" t="s">
        <v>92</v>
      </c>
      <c r="B29" s="111"/>
      <c r="D29" s="155">
        <f>TtlHours</f>
        <v>687</v>
      </c>
      <c r="F29" s="147">
        <f>TtlHours</f>
        <v>687</v>
      </c>
    </row>
    <row r="30" spans="1:6" ht="12.75">
      <c r="A30" s="155" t="s">
        <v>93</v>
      </c>
      <c r="B30" s="111"/>
      <c r="D30" s="157">
        <f>kW</f>
        <v>55.367231638418076</v>
      </c>
      <c r="F30" s="205">
        <f>kW</f>
        <v>55.367231638418076</v>
      </c>
    </row>
    <row r="31" spans="1:6" ht="12.75">
      <c r="A31" s="155" t="s">
        <v>94</v>
      </c>
      <c r="B31" s="111"/>
      <c r="D31" s="158">
        <f>D29*D30</f>
        <v>38037.28813559322</v>
      </c>
      <c r="E31" s="158"/>
      <c r="F31" s="206">
        <f>F29*F30</f>
        <v>38037.28813559322</v>
      </c>
    </row>
    <row r="32" spans="2:6" ht="12.75">
      <c r="B32" s="111"/>
      <c r="C32" s="150" t="s">
        <v>129</v>
      </c>
      <c r="D32" s="159">
        <f>D40/D31</f>
        <v>0.08188396756082346</v>
      </c>
      <c r="E32" s="181"/>
      <c r="F32" s="207">
        <f>F40/F31</f>
        <v>0.08188396756082346</v>
      </c>
    </row>
    <row r="33" spans="1:6" ht="12.75">
      <c r="A33" s="155" t="s">
        <v>95</v>
      </c>
      <c r="B33" s="111"/>
      <c r="C33" s="150"/>
      <c r="D33" s="160"/>
      <c r="E33" s="160"/>
      <c r="F33" s="148"/>
    </row>
    <row r="34" spans="1:8" ht="12.75">
      <c r="A34" s="173" t="s">
        <v>133</v>
      </c>
      <c r="B34" s="111"/>
      <c r="C34" s="114"/>
      <c r="D34" s="161">
        <f>IF(D31&gt;35000,35000,D31)</f>
        <v>35000</v>
      </c>
      <c r="E34" s="161"/>
      <c r="F34" s="208">
        <f>IF(F31&gt;35000,35000,F31)</f>
        <v>35000</v>
      </c>
      <c r="G34" s="116"/>
      <c r="H34" s="117"/>
    </row>
    <row r="35" spans="1:8" ht="12.75">
      <c r="A35" s="173"/>
      <c r="B35" s="111"/>
      <c r="C35" s="118" t="s">
        <v>96</v>
      </c>
      <c r="D35" s="162">
        <v>0.084</v>
      </c>
      <c r="E35" s="172"/>
      <c r="F35" s="209">
        <f>D35</f>
        <v>0.084</v>
      </c>
      <c r="G35" s="115"/>
      <c r="H35" s="117"/>
    </row>
    <row r="36" spans="1:8" ht="12.75">
      <c r="A36" s="174"/>
      <c r="B36" s="111"/>
      <c r="C36" s="118"/>
      <c r="D36" s="163">
        <f>D34*D35</f>
        <v>2940</v>
      </c>
      <c r="E36" s="163"/>
      <c r="F36" s="210">
        <f>F34*F35</f>
        <v>2940</v>
      </c>
      <c r="G36" s="115"/>
      <c r="H36" s="117"/>
    </row>
    <row r="37" spans="1:8" ht="12.75">
      <c r="A37" s="155" t="s">
        <v>117</v>
      </c>
      <c r="B37" s="111"/>
      <c r="C37" s="114"/>
      <c r="D37" s="164">
        <f>IF(D31-D34&lt;1,0,D31-D34)</f>
        <v>3037.2881355932186</v>
      </c>
      <c r="E37" s="167"/>
      <c r="F37" s="211">
        <f>IF(F31-F34&lt;1,0,F31-F34)</f>
        <v>3037.2881355932186</v>
      </c>
      <c r="G37" s="117"/>
      <c r="H37" s="117"/>
    </row>
    <row r="38" spans="2:8" ht="12.75">
      <c r="B38" s="111"/>
      <c r="C38" s="118" t="s">
        <v>96</v>
      </c>
      <c r="D38" s="165">
        <v>0.0575</v>
      </c>
      <c r="E38" s="167"/>
      <c r="F38" s="212">
        <v>0.0575</v>
      </c>
      <c r="G38" s="117"/>
      <c r="H38" s="117"/>
    </row>
    <row r="39" spans="2:8" ht="12.75">
      <c r="B39" s="111"/>
      <c r="C39" s="114"/>
      <c r="D39" s="166">
        <f>D37*D38</f>
        <v>174.64406779661007</v>
      </c>
      <c r="E39" s="167"/>
      <c r="F39" s="213">
        <f>F37*F38</f>
        <v>174.64406779661007</v>
      </c>
      <c r="G39" s="117"/>
      <c r="H39" s="117"/>
    </row>
    <row r="40" spans="1:8" ht="12.75">
      <c r="A40" s="155" t="s">
        <v>97</v>
      </c>
      <c r="B40" s="111"/>
      <c r="C40" s="114"/>
      <c r="D40" s="166">
        <f>D36+D39</f>
        <v>3114.64406779661</v>
      </c>
      <c r="E40" s="167"/>
      <c r="F40" s="213">
        <f>F36+F39</f>
        <v>3114.64406779661</v>
      </c>
      <c r="G40" s="119"/>
      <c r="H40" s="117"/>
    </row>
    <row r="41" spans="1:8" ht="12.75">
      <c r="A41" s="155" t="s">
        <v>134</v>
      </c>
      <c r="B41" s="111"/>
      <c r="C41" s="114"/>
      <c r="D41" s="166">
        <v>34</v>
      </c>
      <c r="E41" s="167"/>
      <c r="F41" s="213">
        <v>34</v>
      </c>
      <c r="G41" s="119"/>
      <c r="H41" s="117"/>
    </row>
    <row r="42" spans="1:8" ht="12.75">
      <c r="A42" s="155" t="s">
        <v>135</v>
      </c>
      <c r="B42" s="111"/>
      <c r="C42" s="114"/>
      <c r="D42" s="166">
        <f>D41*kW</f>
        <v>1882.4858757062145</v>
      </c>
      <c r="E42" s="167"/>
      <c r="F42" s="214">
        <f>F41*kW</f>
        <v>1882.4858757062145</v>
      </c>
      <c r="G42" s="119"/>
      <c r="H42" s="117"/>
    </row>
    <row r="43" spans="1:8" ht="12.75">
      <c r="A43" s="175" t="s">
        <v>137</v>
      </c>
      <c r="B43" s="147"/>
      <c r="C43" s="148"/>
      <c r="D43" s="167">
        <v>55</v>
      </c>
      <c r="E43" s="166"/>
      <c r="F43" s="213">
        <v>55</v>
      </c>
      <c r="G43" s="119"/>
      <c r="H43" s="117"/>
    </row>
    <row r="44" spans="1:10" ht="12.75">
      <c r="A44" s="175" t="s">
        <v>116</v>
      </c>
      <c r="B44" s="147"/>
      <c r="C44" s="147"/>
      <c r="D44" s="168">
        <f>D43*NamePlateHP</f>
        <v>4125</v>
      </c>
      <c r="E44" s="168"/>
      <c r="F44" s="215">
        <f>F43*NamePlateHP</f>
        <v>4125</v>
      </c>
      <c r="G44" s="110"/>
      <c r="H44" s="110"/>
      <c r="I44" s="110"/>
      <c r="J44" s="110"/>
    </row>
    <row r="45" spans="1:10" ht="12.75">
      <c r="A45" s="175" t="s">
        <v>138</v>
      </c>
      <c r="B45" s="147"/>
      <c r="C45" s="147"/>
      <c r="D45" s="167">
        <v>780</v>
      </c>
      <c r="E45" s="180"/>
      <c r="F45" s="213">
        <v>780</v>
      </c>
      <c r="G45" s="110"/>
      <c r="H45" s="110"/>
      <c r="I45" s="110"/>
      <c r="J45" s="110"/>
    </row>
    <row r="46" spans="1:6" ht="12.75">
      <c r="A46" s="155" t="s">
        <v>136</v>
      </c>
      <c r="B46" s="111"/>
      <c r="D46" s="182">
        <f>D40+D42+D45</f>
        <v>5777.129943502825</v>
      </c>
      <c r="E46" s="169"/>
      <c r="F46" s="216">
        <f>F40+F42+F45</f>
        <v>5777.129943502825</v>
      </c>
    </row>
    <row r="47" spans="1:6" s="110" customFormat="1" ht="12.75">
      <c r="A47" s="156"/>
      <c r="B47" s="112"/>
      <c r="D47" s="170"/>
      <c r="E47" s="156"/>
      <c r="F47" s="204"/>
    </row>
    <row r="48" spans="1:3" ht="12.75">
      <c r="A48" s="156" t="s">
        <v>99</v>
      </c>
      <c r="B48" s="131" t="s">
        <v>112</v>
      </c>
      <c r="C48" s="121"/>
    </row>
    <row r="49" spans="1:6" ht="12.75">
      <c r="A49" s="155" t="s">
        <v>92</v>
      </c>
      <c r="B49" s="111"/>
      <c r="D49" s="155">
        <f>TtlHours</f>
        <v>687</v>
      </c>
      <c r="F49" s="147">
        <f>TtlHours</f>
        <v>687</v>
      </c>
    </row>
    <row r="50" spans="1:6" ht="12.75">
      <c r="A50" s="155" t="s">
        <v>93</v>
      </c>
      <c r="B50" s="111"/>
      <c r="D50" s="157">
        <f>kW</f>
        <v>55.367231638418076</v>
      </c>
      <c r="F50" s="205">
        <f>kW</f>
        <v>55.367231638418076</v>
      </c>
    </row>
    <row r="51" spans="1:6" ht="12.75">
      <c r="A51" s="155" t="s">
        <v>94</v>
      </c>
      <c r="B51" s="111"/>
      <c r="D51" s="158">
        <f>D49*D50</f>
        <v>38037.28813559322</v>
      </c>
      <c r="E51" s="158"/>
      <c r="F51" s="206">
        <f>F49*F50</f>
        <v>38037.28813559322</v>
      </c>
    </row>
    <row r="52" spans="2:6" ht="12.75">
      <c r="B52" s="111"/>
      <c r="C52" s="150" t="s">
        <v>129</v>
      </c>
      <c r="D52" s="159">
        <f>D60/D51</f>
        <v>0.07774329382407985</v>
      </c>
      <c r="E52" s="181"/>
      <c r="F52" s="207">
        <f>F60/F51</f>
        <v>0.07774329382407985</v>
      </c>
    </row>
    <row r="53" spans="1:6" ht="12.75">
      <c r="A53" s="155" t="s">
        <v>95</v>
      </c>
      <c r="B53" s="111"/>
      <c r="C53" s="150"/>
      <c r="D53" s="160"/>
      <c r="E53" s="160"/>
      <c r="F53" s="148"/>
    </row>
    <row r="54" spans="1:8" ht="12.75">
      <c r="A54" s="173" t="s">
        <v>133</v>
      </c>
      <c r="B54" s="111"/>
      <c r="C54" s="114"/>
      <c r="D54" s="161">
        <f>IF(D51&gt;35000,35000,D51)</f>
        <v>35000</v>
      </c>
      <c r="E54" s="161"/>
      <c r="F54" s="208">
        <f>IF(F51&gt;35000,35000,F51)</f>
        <v>35000</v>
      </c>
      <c r="G54" s="116"/>
      <c r="H54" s="117"/>
    </row>
    <row r="55" spans="1:8" ht="12.75">
      <c r="A55" s="173"/>
      <c r="B55" s="111"/>
      <c r="C55" s="118" t="s">
        <v>96</v>
      </c>
      <c r="D55" s="162">
        <v>0.0795</v>
      </c>
      <c r="E55" s="172"/>
      <c r="F55" s="209">
        <f>D55</f>
        <v>0.0795</v>
      </c>
      <c r="G55" s="115"/>
      <c r="H55" s="117"/>
    </row>
    <row r="56" spans="1:8" ht="12.75">
      <c r="A56" s="174"/>
      <c r="B56" s="111"/>
      <c r="C56" s="118"/>
      <c r="D56" s="163">
        <f>D54*D55</f>
        <v>2782.5</v>
      </c>
      <c r="E56" s="163"/>
      <c r="F56" s="210">
        <f>F54*F55</f>
        <v>2782.5</v>
      </c>
      <c r="G56" s="115"/>
      <c r="H56" s="117"/>
    </row>
    <row r="57" spans="1:8" ht="12.75">
      <c r="A57" s="155" t="s">
        <v>117</v>
      </c>
      <c r="B57" s="111"/>
      <c r="C57" s="114"/>
      <c r="D57" s="164">
        <f>IF(D51-D54&lt;1,0,D51-D54)</f>
        <v>3037.2881355932186</v>
      </c>
      <c r="E57" s="167"/>
      <c r="F57" s="211">
        <f>IF(F51-F54&lt;1,0,F51-F54)</f>
        <v>3037.2881355932186</v>
      </c>
      <c r="G57" s="117"/>
      <c r="H57" s="117"/>
    </row>
    <row r="58" spans="2:8" ht="12.75">
      <c r="B58" s="111"/>
      <c r="C58" s="118" t="s">
        <v>96</v>
      </c>
      <c r="D58" s="165">
        <v>0.0575</v>
      </c>
      <c r="E58" s="167"/>
      <c r="F58" s="217">
        <v>0.0575</v>
      </c>
      <c r="G58" s="117"/>
      <c r="H58" s="117"/>
    </row>
    <row r="59" spans="2:8" ht="12.75">
      <c r="B59" s="111"/>
      <c r="C59" s="114"/>
      <c r="D59" s="166">
        <f>D57*D58</f>
        <v>174.64406779661007</v>
      </c>
      <c r="E59" s="167"/>
      <c r="F59" s="213">
        <f>F57*F58</f>
        <v>174.64406779661007</v>
      </c>
      <c r="G59" s="117"/>
      <c r="H59" s="117"/>
    </row>
    <row r="60" spans="1:8" ht="12.75">
      <c r="A60" s="155" t="s">
        <v>97</v>
      </c>
      <c r="B60" s="111"/>
      <c r="C60" s="114"/>
      <c r="D60" s="166">
        <f>D56+D59</f>
        <v>2957.14406779661</v>
      </c>
      <c r="E60" s="167"/>
      <c r="F60" s="213">
        <f>F56+F59</f>
        <v>2957.14406779661</v>
      </c>
      <c r="G60" s="119"/>
      <c r="H60" s="117"/>
    </row>
    <row r="61" spans="1:8" ht="12.75">
      <c r="A61" s="155" t="s">
        <v>134</v>
      </c>
      <c r="B61" s="111"/>
      <c r="C61" s="114"/>
      <c r="D61" s="166">
        <v>29.5</v>
      </c>
      <c r="E61" s="167"/>
      <c r="F61" s="213">
        <v>29.5</v>
      </c>
      <c r="G61" s="119"/>
      <c r="H61" s="117"/>
    </row>
    <row r="62" spans="1:8" ht="12.75">
      <c r="A62" s="155" t="s">
        <v>135</v>
      </c>
      <c r="B62" s="111"/>
      <c r="C62" s="114"/>
      <c r="D62" s="166">
        <f>D61*kW</f>
        <v>1633.3333333333333</v>
      </c>
      <c r="E62" s="167"/>
      <c r="F62" s="214">
        <f>F61*kW</f>
        <v>1633.3333333333333</v>
      </c>
      <c r="G62" s="119"/>
      <c r="H62" s="117"/>
    </row>
    <row r="63" spans="1:8" ht="12.75">
      <c r="A63" s="175" t="s">
        <v>137</v>
      </c>
      <c r="B63" s="147"/>
      <c r="C63" s="149"/>
      <c r="D63" s="166">
        <v>50</v>
      </c>
      <c r="E63" s="167"/>
      <c r="F63" s="213">
        <v>50</v>
      </c>
      <c r="G63" s="119"/>
      <c r="H63" s="117"/>
    </row>
    <row r="64" spans="1:6" ht="12.75">
      <c r="A64" s="175" t="s">
        <v>116</v>
      </c>
      <c r="B64" s="147"/>
      <c r="C64" s="147"/>
      <c r="D64" s="168">
        <f>D63*NamePlateHP</f>
        <v>3750</v>
      </c>
      <c r="E64" s="168"/>
      <c r="F64" s="215">
        <f>F63*NamePlateHP</f>
        <v>3750</v>
      </c>
    </row>
    <row r="65" spans="1:6" ht="12.75">
      <c r="A65" s="175" t="s">
        <v>138</v>
      </c>
      <c r="B65" s="147"/>
      <c r="C65" s="147"/>
      <c r="D65" s="167">
        <v>780</v>
      </c>
      <c r="E65" s="180"/>
      <c r="F65" s="213">
        <v>780</v>
      </c>
    </row>
    <row r="66" spans="1:6" ht="12.75">
      <c r="A66" s="155" t="s">
        <v>136</v>
      </c>
      <c r="B66" s="111"/>
      <c r="D66" s="182">
        <f>D60+D62+D65</f>
        <v>5370.477401129943</v>
      </c>
      <c r="E66" s="169"/>
      <c r="F66" s="216">
        <f>F60+F62+F65</f>
        <v>5370.477401129943</v>
      </c>
    </row>
    <row r="67" spans="1:6" s="110" customFormat="1" ht="12.75">
      <c r="A67" s="156"/>
      <c r="B67" s="112"/>
      <c r="D67" s="170"/>
      <c r="E67" s="156"/>
      <c r="F67" s="204"/>
    </row>
    <row r="68" spans="1:3" ht="12.75">
      <c r="A68" s="156" t="s">
        <v>100</v>
      </c>
      <c r="B68" s="131" t="s">
        <v>113</v>
      </c>
      <c r="C68" s="121"/>
    </row>
    <row r="69" spans="1:6" ht="12.75">
      <c r="A69" s="155" t="s">
        <v>92</v>
      </c>
      <c r="B69" s="111"/>
      <c r="D69" s="155">
        <f>TtlHours</f>
        <v>687</v>
      </c>
      <c r="F69" s="147">
        <f>TtlHours</f>
        <v>687</v>
      </c>
    </row>
    <row r="70" spans="1:6" ht="12.75">
      <c r="A70" s="155" t="s">
        <v>93</v>
      </c>
      <c r="B70" s="111"/>
      <c r="D70" s="157">
        <f>kW</f>
        <v>55.367231638418076</v>
      </c>
      <c r="F70" s="205">
        <f>kW</f>
        <v>55.367231638418076</v>
      </c>
    </row>
    <row r="71" spans="1:6" ht="12.75">
      <c r="A71" s="155" t="s">
        <v>94</v>
      </c>
      <c r="B71" s="111"/>
      <c r="D71" s="158">
        <f>D69*D70</f>
        <v>38037.28813559322</v>
      </c>
      <c r="E71" s="158"/>
      <c r="F71" s="206">
        <f>F69*F70</f>
        <v>38037.28813559322</v>
      </c>
    </row>
    <row r="72" spans="2:6" ht="12.75">
      <c r="B72" s="111"/>
      <c r="C72" s="150" t="s">
        <v>129</v>
      </c>
      <c r="D72" s="159">
        <f>D80/D71</f>
        <v>0.0770991890205864</v>
      </c>
      <c r="E72" s="181"/>
      <c r="F72" s="207">
        <f>F80/F71</f>
        <v>0.0770991890205864</v>
      </c>
    </row>
    <row r="73" spans="1:6" ht="12.75">
      <c r="A73" s="155" t="s">
        <v>95</v>
      </c>
      <c r="B73" s="111"/>
      <c r="C73" s="150"/>
      <c r="D73" s="160"/>
      <c r="E73" s="160"/>
      <c r="F73" s="148"/>
    </row>
    <row r="74" spans="1:8" ht="12.75">
      <c r="A74" s="173" t="s">
        <v>133</v>
      </c>
      <c r="B74" s="111"/>
      <c r="C74" s="114"/>
      <c r="D74" s="161">
        <f>IF(D71&gt;35000,35000,D71)</f>
        <v>35000</v>
      </c>
      <c r="E74" s="161"/>
      <c r="F74" s="208">
        <f>IF(F71&gt;35000,35000,F71)</f>
        <v>35000</v>
      </c>
      <c r="G74" s="116"/>
      <c r="H74" s="117"/>
    </row>
    <row r="75" spans="1:8" ht="12.75">
      <c r="A75" s="173"/>
      <c r="B75" s="111"/>
      <c r="C75" s="118" t="s">
        <v>96</v>
      </c>
      <c r="D75" s="162">
        <v>0.0788</v>
      </c>
      <c r="E75" s="172"/>
      <c r="F75" s="209">
        <f>D75</f>
        <v>0.0788</v>
      </c>
      <c r="G75" s="115"/>
      <c r="H75" s="117"/>
    </row>
    <row r="76" spans="1:8" ht="12.75">
      <c r="A76" s="174"/>
      <c r="B76" s="111"/>
      <c r="C76" s="118"/>
      <c r="D76" s="163">
        <f>D74*D75</f>
        <v>2758</v>
      </c>
      <c r="E76" s="163"/>
      <c r="F76" s="210">
        <f>F74*F75</f>
        <v>2758</v>
      </c>
      <c r="G76" s="115"/>
      <c r="H76" s="117"/>
    </row>
    <row r="77" spans="1:8" ht="12.75">
      <c r="A77" s="155" t="s">
        <v>117</v>
      </c>
      <c r="B77" s="111"/>
      <c r="C77" s="114"/>
      <c r="D77" s="164">
        <f>IF(D71-D74&lt;1,0,D71-D74)</f>
        <v>3037.2881355932186</v>
      </c>
      <c r="E77" s="167"/>
      <c r="F77" s="211">
        <f>IF(F71-F74&lt;1,0,F71-F74)</f>
        <v>3037.2881355932186</v>
      </c>
      <c r="G77" s="117"/>
      <c r="H77" s="117"/>
    </row>
    <row r="78" spans="2:8" ht="12.75">
      <c r="B78" s="111"/>
      <c r="C78" s="118" t="s">
        <v>96</v>
      </c>
      <c r="D78" s="165">
        <v>0.0575</v>
      </c>
      <c r="E78" s="167"/>
      <c r="F78" s="217">
        <v>0.0575</v>
      </c>
      <c r="G78" s="117"/>
      <c r="H78" s="117"/>
    </row>
    <row r="79" spans="2:8" ht="12.75">
      <c r="B79" s="111"/>
      <c r="C79" s="114"/>
      <c r="D79" s="166">
        <f>D77*D78</f>
        <v>174.64406779661007</v>
      </c>
      <c r="E79" s="167"/>
      <c r="F79" s="213">
        <f>F77*F78</f>
        <v>174.64406779661007</v>
      </c>
      <c r="G79" s="117"/>
      <c r="H79" s="117"/>
    </row>
    <row r="80" spans="1:8" ht="12.75">
      <c r="A80" s="155" t="s">
        <v>97</v>
      </c>
      <c r="B80" s="111"/>
      <c r="C80" s="114"/>
      <c r="D80" s="166">
        <f>D76+D79</f>
        <v>2932.64406779661</v>
      </c>
      <c r="E80" s="167"/>
      <c r="F80" s="213">
        <f>F76+F79</f>
        <v>2932.64406779661</v>
      </c>
      <c r="G80" s="119"/>
      <c r="H80" s="117"/>
    </row>
    <row r="81" spans="1:8" ht="12.75">
      <c r="A81" s="155" t="s">
        <v>134</v>
      </c>
      <c r="B81" s="111"/>
      <c r="C81" s="114"/>
      <c r="D81" s="166">
        <v>25</v>
      </c>
      <c r="E81" s="167"/>
      <c r="F81" s="213">
        <v>25</v>
      </c>
      <c r="G81" s="119"/>
      <c r="H81" s="117"/>
    </row>
    <row r="82" spans="1:8" ht="12.75">
      <c r="A82" s="155" t="s">
        <v>135</v>
      </c>
      <c r="B82" s="111"/>
      <c r="C82" s="114"/>
      <c r="D82" s="166">
        <f>D81*kW</f>
        <v>1384.180790960452</v>
      </c>
      <c r="E82" s="167"/>
      <c r="F82" s="214">
        <f>F81*kW</f>
        <v>1384.180790960452</v>
      </c>
      <c r="G82" s="119"/>
      <c r="H82" s="117"/>
    </row>
    <row r="83" spans="1:8" ht="12.75">
      <c r="A83" s="175" t="s">
        <v>137</v>
      </c>
      <c r="B83" s="147"/>
      <c r="C83" s="148"/>
      <c r="D83" s="167">
        <v>44</v>
      </c>
      <c r="E83" s="167"/>
      <c r="F83" s="213">
        <v>44</v>
      </c>
      <c r="G83" s="119"/>
      <c r="H83" s="117"/>
    </row>
    <row r="84" spans="1:6" ht="12.75">
      <c r="A84" s="175" t="s">
        <v>116</v>
      </c>
      <c r="B84" s="147"/>
      <c r="C84" s="147"/>
      <c r="D84" s="168">
        <f>D83*NamePlateHP</f>
        <v>3300</v>
      </c>
      <c r="E84" s="168"/>
      <c r="F84" s="215">
        <f>F83*NamePlateHP</f>
        <v>3300</v>
      </c>
    </row>
    <row r="85" spans="1:6" ht="12.75">
      <c r="A85" s="175" t="s">
        <v>138</v>
      </c>
      <c r="B85" s="147"/>
      <c r="C85" s="147"/>
      <c r="D85" s="167">
        <v>780</v>
      </c>
      <c r="E85" s="180"/>
      <c r="F85" s="213">
        <v>780</v>
      </c>
    </row>
    <row r="86" spans="1:6" ht="12.75">
      <c r="A86" s="155" t="s">
        <v>136</v>
      </c>
      <c r="B86" s="111"/>
      <c r="D86" s="182">
        <f>D80+D82+D85</f>
        <v>5096.824858757062</v>
      </c>
      <c r="E86" s="169"/>
      <c r="F86" s="216">
        <f>F80+F82+F85</f>
        <v>5096.824858757062</v>
      </c>
    </row>
    <row r="87" spans="1:6" s="110" customFormat="1" ht="12.75">
      <c r="A87" s="156"/>
      <c r="B87" s="112"/>
      <c r="D87" s="170"/>
      <c r="E87" s="156"/>
      <c r="F87" s="204"/>
    </row>
    <row r="88" spans="1:3" ht="12.75">
      <c r="A88" s="156" t="s">
        <v>101</v>
      </c>
      <c r="B88" s="131" t="s">
        <v>114</v>
      </c>
      <c r="C88" s="121"/>
    </row>
    <row r="89" spans="1:6" ht="12.75">
      <c r="A89" s="155" t="s">
        <v>92</v>
      </c>
      <c r="B89" s="111"/>
      <c r="D89" s="155">
        <f>TtlHours</f>
        <v>687</v>
      </c>
      <c r="F89" s="147">
        <f>TtlHours</f>
        <v>687</v>
      </c>
    </row>
    <row r="90" spans="1:6" ht="12.75">
      <c r="A90" s="155" t="s">
        <v>93</v>
      </c>
      <c r="B90" s="111"/>
      <c r="D90" s="157">
        <f>kW</f>
        <v>55.367231638418076</v>
      </c>
      <c r="F90" s="205">
        <f>kW</f>
        <v>55.367231638418076</v>
      </c>
    </row>
    <row r="91" spans="1:6" ht="12.75">
      <c r="A91" s="155" t="s">
        <v>94</v>
      </c>
      <c r="B91" s="111"/>
      <c r="D91" s="158">
        <f>D89*D90</f>
        <v>38037.28813559322</v>
      </c>
      <c r="E91" s="158"/>
      <c r="F91" s="206">
        <f>F89*F90</f>
        <v>38037.28813559322</v>
      </c>
    </row>
    <row r="92" spans="2:6" ht="12.75">
      <c r="B92" s="111"/>
      <c r="C92" s="150" t="s">
        <v>129</v>
      </c>
      <c r="D92" s="159">
        <f>D100/D91</f>
        <v>0.07645508421709296</v>
      </c>
      <c r="E92" s="181"/>
      <c r="F92" s="207">
        <f>F100/F91</f>
        <v>0.07958359326263256</v>
      </c>
    </row>
    <row r="93" spans="1:6" ht="12.75">
      <c r="A93" s="155" t="s">
        <v>95</v>
      </c>
      <c r="B93" s="111"/>
      <c r="C93" s="150"/>
      <c r="D93" s="160"/>
      <c r="E93" s="160"/>
      <c r="F93" s="148"/>
    </row>
    <row r="94" spans="1:8" ht="12.75">
      <c r="A94" s="173" t="s">
        <v>133</v>
      </c>
      <c r="B94" s="111"/>
      <c r="C94" s="114"/>
      <c r="D94" s="161">
        <f>IF(D91&gt;35000,35000,D91)</f>
        <v>35000</v>
      </c>
      <c r="E94" s="161"/>
      <c r="F94" s="208">
        <f>IF(F91&gt;35000,35000,F91)</f>
        <v>35000</v>
      </c>
      <c r="G94" s="116"/>
      <c r="H94" s="117"/>
    </row>
    <row r="95" spans="1:8" ht="12.75">
      <c r="A95" s="173"/>
      <c r="B95" s="111"/>
      <c r="C95" s="118" t="s">
        <v>96</v>
      </c>
      <c r="D95" s="162">
        <v>0.0781</v>
      </c>
      <c r="E95" s="172"/>
      <c r="F95" s="209">
        <v>0.0815</v>
      </c>
      <c r="G95" s="115"/>
      <c r="H95" s="117"/>
    </row>
    <row r="96" spans="1:8" ht="12.75">
      <c r="A96" s="174"/>
      <c r="B96" s="111"/>
      <c r="C96" s="118"/>
      <c r="D96" s="163">
        <f>D94*D95</f>
        <v>2733.5</v>
      </c>
      <c r="E96" s="163"/>
      <c r="F96" s="210">
        <f>F94*F95</f>
        <v>2852.5</v>
      </c>
      <c r="G96" s="115"/>
      <c r="H96" s="117"/>
    </row>
    <row r="97" spans="1:8" ht="12.75">
      <c r="A97" s="155" t="s">
        <v>117</v>
      </c>
      <c r="B97" s="111"/>
      <c r="C97" s="114"/>
      <c r="D97" s="164">
        <f>IF(D91-D94&lt;1,0,D91-D94)</f>
        <v>3037.2881355932186</v>
      </c>
      <c r="E97" s="167"/>
      <c r="F97" s="211">
        <f>IF(F91-F94&lt;1,0,F91-F94)</f>
        <v>3037.2881355932186</v>
      </c>
      <c r="G97" s="117"/>
      <c r="H97" s="117"/>
    </row>
    <row r="98" spans="2:8" ht="12.75">
      <c r="B98" s="111"/>
      <c r="C98" s="118" t="s">
        <v>96</v>
      </c>
      <c r="D98" s="165">
        <v>0.0575</v>
      </c>
      <c r="E98" s="167"/>
      <c r="F98" s="212">
        <v>0.0575</v>
      </c>
      <c r="G98" s="117"/>
      <c r="H98" s="117"/>
    </row>
    <row r="99" spans="2:8" ht="12.75">
      <c r="B99" s="111"/>
      <c r="C99" s="114"/>
      <c r="D99" s="166">
        <f>D97*D98</f>
        <v>174.64406779661007</v>
      </c>
      <c r="E99" s="167"/>
      <c r="F99" s="213">
        <f>F97*F98</f>
        <v>174.64406779661007</v>
      </c>
      <c r="G99" s="117"/>
      <c r="H99" s="117"/>
    </row>
    <row r="100" spans="1:8" ht="12.75">
      <c r="A100" s="155" t="s">
        <v>97</v>
      </c>
      <c r="B100" s="111"/>
      <c r="C100" s="114"/>
      <c r="D100" s="166">
        <f>D96+D99</f>
        <v>2908.14406779661</v>
      </c>
      <c r="E100" s="167"/>
      <c r="F100" s="213">
        <f>F96+F99</f>
        <v>3027.14406779661</v>
      </c>
      <c r="G100" s="119"/>
      <c r="H100" s="117"/>
    </row>
    <row r="101" spans="1:8" ht="12.75">
      <c r="A101" s="155" t="s">
        <v>134</v>
      </c>
      <c r="B101" s="111"/>
      <c r="C101" s="114"/>
      <c r="D101" s="166">
        <v>20.5</v>
      </c>
      <c r="E101" s="167"/>
      <c r="F101" s="213">
        <v>20.5</v>
      </c>
      <c r="G101" s="119"/>
      <c r="H101" s="117"/>
    </row>
    <row r="102" spans="1:8" ht="12.75">
      <c r="A102" s="155" t="s">
        <v>135</v>
      </c>
      <c r="B102" s="111"/>
      <c r="C102" s="114"/>
      <c r="D102" s="166">
        <f>D101*kW</f>
        <v>1135.0282485875705</v>
      </c>
      <c r="E102" s="167"/>
      <c r="F102" s="214">
        <f>F101*kW</f>
        <v>1135.0282485875705</v>
      </c>
      <c r="G102" s="119"/>
      <c r="H102" s="117"/>
    </row>
    <row r="103" spans="1:8" ht="12.75">
      <c r="A103" s="175" t="s">
        <v>137</v>
      </c>
      <c r="B103" s="147"/>
      <c r="C103" s="148"/>
      <c r="D103" s="167">
        <v>38</v>
      </c>
      <c r="E103" s="167"/>
      <c r="F103" s="213">
        <v>38</v>
      </c>
      <c r="G103" s="119"/>
      <c r="H103" s="117"/>
    </row>
    <row r="104" spans="1:6" ht="12.75">
      <c r="A104" s="175" t="s">
        <v>116</v>
      </c>
      <c r="B104" s="147"/>
      <c r="C104" s="147"/>
      <c r="D104" s="168">
        <f>D103*NamePlateHP</f>
        <v>2850</v>
      </c>
      <c r="E104" s="168"/>
      <c r="F104" s="215">
        <f>F103*NamePlateHP</f>
        <v>2850</v>
      </c>
    </row>
    <row r="105" spans="1:6" ht="12.75">
      <c r="A105" s="175" t="s">
        <v>138</v>
      </c>
      <c r="B105" s="147"/>
      <c r="C105" s="147"/>
      <c r="D105" s="167">
        <v>780</v>
      </c>
      <c r="E105" s="180"/>
      <c r="F105" s="213">
        <v>780</v>
      </c>
    </row>
    <row r="106" spans="1:6" ht="12.75">
      <c r="A106" s="155" t="s">
        <v>136</v>
      </c>
      <c r="B106" s="111"/>
      <c r="D106" s="182">
        <f>D100+D102+D105</f>
        <v>4823.172316384181</v>
      </c>
      <c r="E106" s="169"/>
      <c r="F106" s="216">
        <f>F100+F102+F105</f>
        <v>4942.172316384181</v>
      </c>
    </row>
    <row r="107" spans="1:6" s="110" customFormat="1" ht="12.75">
      <c r="A107" s="156"/>
      <c r="B107" s="112"/>
      <c r="D107" s="170"/>
      <c r="E107" s="156"/>
      <c r="F107" s="204"/>
    </row>
    <row r="108" spans="1:3" ht="12.75">
      <c r="A108" s="156" t="s">
        <v>102</v>
      </c>
      <c r="B108" s="131" t="s">
        <v>115</v>
      </c>
      <c r="C108" s="121"/>
    </row>
    <row r="109" spans="1:6" ht="12.75">
      <c r="A109" s="155" t="s">
        <v>92</v>
      </c>
      <c r="B109" s="111"/>
      <c r="D109" s="155">
        <f>TtlHours</f>
        <v>687</v>
      </c>
      <c r="F109" s="147">
        <f>TtlHours</f>
        <v>687</v>
      </c>
    </row>
    <row r="110" spans="1:6" ht="12.75">
      <c r="A110" s="155" t="s">
        <v>93</v>
      </c>
      <c r="B110" s="111"/>
      <c r="D110" s="157">
        <f>kW</f>
        <v>55.367231638418076</v>
      </c>
      <c r="F110" s="205">
        <f>kW</f>
        <v>55.367231638418076</v>
      </c>
    </row>
    <row r="111" spans="1:6" ht="12.75">
      <c r="A111" s="155" t="s">
        <v>94</v>
      </c>
      <c r="B111" s="111"/>
      <c r="D111" s="158">
        <f>D109*D110</f>
        <v>38037.28813559322</v>
      </c>
      <c r="E111" s="158"/>
      <c r="F111" s="206">
        <f>F109*F110</f>
        <v>38037.28813559322</v>
      </c>
    </row>
    <row r="112" spans="2:6" ht="12.75">
      <c r="B112" s="111"/>
      <c r="C112" s="150" t="s">
        <v>129</v>
      </c>
      <c r="D112" s="159">
        <f>D120/D111</f>
        <v>0.058512164691203995</v>
      </c>
      <c r="E112" s="181"/>
      <c r="F112" s="207">
        <f>F120/F111</f>
        <v>0.058512164691203995</v>
      </c>
    </row>
    <row r="113" spans="1:6" ht="12.75">
      <c r="A113" s="155" t="s">
        <v>95</v>
      </c>
      <c r="B113" s="111"/>
      <c r="C113" s="150"/>
      <c r="D113" s="160"/>
      <c r="E113" s="160"/>
      <c r="F113" s="148"/>
    </row>
    <row r="114" spans="1:8" ht="12.75">
      <c r="A114" s="173" t="s">
        <v>133</v>
      </c>
      <c r="B114" s="111"/>
      <c r="C114" s="114"/>
      <c r="D114" s="161">
        <f>IF(D111&gt;35000,35000,D111)</f>
        <v>35000</v>
      </c>
      <c r="E114" s="161"/>
      <c r="F114" s="208">
        <f>IF(F111&gt;35000,35000,F111)</f>
        <v>35000</v>
      </c>
      <c r="G114" s="116"/>
      <c r="H114" s="117"/>
    </row>
    <row r="115" spans="1:8" ht="12.75">
      <c r="A115" s="173"/>
      <c r="B115" s="111"/>
      <c r="C115" s="118" t="s">
        <v>96</v>
      </c>
      <c r="D115" s="171">
        <v>0.0586</v>
      </c>
      <c r="E115" s="172"/>
      <c r="F115" s="218">
        <f>D115</f>
        <v>0.0586</v>
      </c>
      <c r="G115" s="115"/>
      <c r="H115" s="117"/>
    </row>
    <row r="116" spans="1:8" ht="12.75">
      <c r="A116" s="174"/>
      <c r="B116" s="111"/>
      <c r="C116" s="118"/>
      <c r="D116" s="163">
        <f>D114*D115</f>
        <v>2051</v>
      </c>
      <c r="E116" s="163"/>
      <c r="F116" s="210">
        <f>F114*F115</f>
        <v>2051</v>
      </c>
      <c r="G116" s="115"/>
      <c r="H116" s="117"/>
    </row>
    <row r="117" spans="1:8" ht="12.75">
      <c r="A117" s="155" t="s">
        <v>117</v>
      </c>
      <c r="B117" s="111"/>
      <c r="C117" s="114"/>
      <c r="D117" s="164">
        <f>IF(D111-D114&lt;1,0,D111-D114)</f>
        <v>3037.2881355932186</v>
      </c>
      <c r="E117" s="167"/>
      <c r="F117" s="211">
        <f>IF(F111-F114&lt;1,0,F111-F114)</f>
        <v>3037.2881355932186</v>
      </c>
      <c r="G117" s="117"/>
      <c r="H117" s="117"/>
    </row>
    <row r="118" spans="2:8" ht="12.75">
      <c r="B118" s="111"/>
      <c r="C118" s="118" t="s">
        <v>96</v>
      </c>
      <c r="D118" s="165">
        <v>0.0575</v>
      </c>
      <c r="E118" s="167"/>
      <c r="F118" s="217">
        <v>0.0575</v>
      </c>
      <c r="G118" s="117"/>
      <c r="H118" s="117"/>
    </row>
    <row r="119" spans="2:8" ht="12.75">
      <c r="B119" s="111"/>
      <c r="C119" s="114"/>
      <c r="D119" s="166">
        <f>D117*D118</f>
        <v>174.64406779661007</v>
      </c>
      <c r="E119" s="167"/>
      <c r="F119" s="213">
        <f>F117*F118</f>
        <v>174.64406779661007</v>
      </c>
      <c r="G119" s="117"/>
      <c r="H119" s="117"/>
    </row>
    <row r="120" spans="1:8" ht="12.75">
      <c r="A120" s="155" t="s">
        <v>97</v>
      </c>
      <c r="B120" s="111"/>
      <c r="C120" s="114"/>
      <c r="D120" s="166">
        <f>D116+D119</f>
        <v>2225.64406779661</v>
      </c>
      <c r="E120" s="167"/>
      <c r="F120" s="213">
        <f>F116+F119</f>
        <v>2225.64406779661</v>
      </c>
      <c r="G120" s="119"/>
      <c r="H120" s="117"/>
    </row>
    <row r="121" spans="1:8" ht="12.75">
      <c r="A121" s="155" t="s">
        <v>134</v>
      </c>
      <c r="B121" s="111"/>
      <c r="C121" s="114"/>
      <c r="D121" s="166">
        <v>15</v>
      </c>
      <c r="E121" s="167"/>
      <c r="F121" s="213">
        <v>15</v>
      </c>
      <c r="G121" s="119"/>
      <c r="H121" s="117"/>
    </row>
    <row r="122" spans="1:8" ht="12.75">
      <c r="A122" s="155" t="s">
        <v>135</v>
      </c>
      <c r="B122" s="111"/>
      <c r="C122" s="114"/>
      <c r="D122" s="166">
        <f>D121*kW</f>
        <v>830.5084745762712</v>
      </c>
      <c r="E122" s="167"/>
      <c r="F122" s="214">
        <f>F121*kW</f>
        <v>830.5084745762712</v>
      </c>
      <c r="G122" s="119"/>
      <c r="H122" s="117"/>
    </row>
    <row r="123" spans="1:8" ht="12.75">
      <c r="A123" s="175" t="s">
        <v>137</v>
      </c>
      <c r="B123" s="147"/>
      <c r="C123" s="148"/>
      <c r="D123" s="167">
        <v>30.5</v>
      </c>
      <c r="E123" s="167"/>
      <c r="F123" s="213">
        <v>30.5</v>
      </c>
      <c r="G123" s="119"/>
      <c r="H123" s="117"/>
    </row>
    <row r="124" spans="1:6" ht="12.75">
      <c r="A124" s="175" t="s">
        <v>116</v>
      </c>
      <c r="B124" s="147"/>
      <c r="C124" s="147"/>
      <c r="D124" s="168">
        <f>D123*NamePlateHP</f>
        <v>2287.5</v>
      </c>
      <c r="E124" s="168"/>
      <c r="F124" s="215">
        <f>F123*NamePlateHP</f>
        <v>2287.5</v>
      </c>
    </row>
    <row r="125" spans="1:6" ht="12.75">
      <c r="A125" s="175" t="s">
        <v>138</v>
      </c>
      <c r="B125" s="147"/>
      <c r="C125" s="147"/>
      <c r="D125" s="167">
        <v>780</v>
      </c>
      <c r="E125" s="180"/>
      <c r="F125" s="213">
        <v>780</v>
      </c>
    </row>
    <row r="126" spans="1:6" ht="12.75">
      <c r="A126" s="155" t="s">
        <v>136</v>
      </c>
      <c r="B126" s="111"/>
      <c r="D126" s="182">
        <f>D120+D122+D125</f>
        <v>3836.1525423728813</v>
      </c>
      <c r="E126" s="169"/>
      <c r="F126" s="216">
        <f>F120+F122+F125</f>
        <v>3836.1525423728813</v>
      </c>
    </row>
    <row r="127" spans="1:6" s="110" customFormat="1" ht="12.75">
      <c r="A127" s="156"/>
      <c r="B127" s="112"/>
      <c r="D127" s="170"/>
      <c r="E127" s="156"/>
      <c r="F127" s="204"/>
    </row>
    <row r="128" spans="1:3" ht="12.75">
      <c r="A128" s="156" t="s">
        <v>103</v>
      </c>
      <c r="B128" s="131" t="s">
        <v>132</v>
      </c>
      <c r="C128" s="121"/>
    </row>
    <row r="129" spans="1:6" ht="12.75">
      <c r="A129" s="155" t="s">
        <v>92</v>
      </c>
      <c r="B129" s="111"/>
      <c r="D129" s="155">
        <f>TtlHours</f>
        <v>687</v>
      </c>
      <c r="F129" s="147">
        <f>TtlHours</f>
        <v>687</v>
      </c>
    </row>
    <row r="130" spans="1:6" ht="12.75">
      <c r="A130" s="155" t="s">
        <v>93</v>
      </c>
      <c r="B130" s="111"/>
      <c r="D130" s="157">
        <f>kW</f>
        <v>55.367231638418076</v>
      </c>
      <c r="F130" s="205">
        <f>kW</f>
        <v>55.367231638418076</v>
      </c>
    </row>
    <row r="131" spans="1:6" ht="12.75">
      <c r="A131" s="155" t="s">
        <v>94</v>
      </c>
      <c r="B131" s="111"/>
      <c r="D131" s="158">
        <f>D129*D130</f>
        <v>38037.28813559322</v>
      </c>
      <c r="E131" s="158"/>
      <c r="F131" s="206">
        <f>F129*F130</f>
        <v>38037.28813559322</v>
      </c>
    </row>
    <row r="132" spans="2:6" ht="12.75">
      <c r="B132" s="111"/>
      <c r="C132" s="150" t="s">
        <v>129</v>
      </c>
      <c r="D132" s="159">
        <f>D136/D131</f>
        <v>0.055700000000000006</v>
      </c>
      <c r="E132" s="181"/>
      <c r="F132" s="207">
        <f>F136/F131</f>
        <v>0.055700000000000006</v>
      </c>
    </row>
    <row r="133" spans="1:6" ht="12.75">
      <c r="A133" s="155" t="s">
        <v>95</v>
      </c>
      <c r="B133" s="111"/>
      <c r="C133" s="150"/>
      <c r="D133" s="160"/>
      <c r="E133" s="160"/>
      <c r="F133" s="148"/>
    </row>
    <row r="134" spans="1:8" ht="12.75">
      <c r="A134" s="173" t="s">
        <v>107</v>
      </c>
      <c r="B134" s="111"/>
      <c r="C134" s="114"/>
      <c r="D134" s="161">
        <f>D131</f>
        <v>38037.28813559322</v>
      </c>
      <c r="E134" s="161"/>
      <c r="F134" s="208">
        <f>F131</f>
        <v>38037.28813559322</v>
      </c>
      <c r="G134" s="116"/>
      <c r="H134" s="117"/>
    </row>
    <row r="135" spans="1:8" ht="12.75">
      <c r="A135" s="174"/>
      <c r="B135" s="111"/>
      <c r="C135" s="118" t="s">
        <v>96</v>
      </c>
      <c r="D135" s="172">
        <v>0.0557</v>
      </c>
      <c r="E135" s="172"/>
      <c r="F135" s="207">
        <v>0.0557</v>
      </c>
      <c r="G135" s="115"/>
      <c r="H135" s="117"/>
    </row>
    <row r="136" spans="1:8" ht="12.75">
      <c r="A136" s="155" t="s">
        <v>97</v>
      </c>
      <c r="B136" s="111"/>
      <c r="C136" s="114"/>
      <c r="D136" s="166">
        <f>D134*D135</f>
        <v>2118.6769491525424</v>
      </c>
      <c r="E136" s="167"/>
      <c r="F136" s="214">
        <f>F134*F135</f>
        <v>2118.6769491525424</v>
      </c>
      <c r="G136" s="119"/>
      <c r="H136" s="117"/>
    </row>
    <row r="137" spans="1:8" ht="12.75">
      <c r="A137" s="155" t="s">
        <v>134</v>
      </c>
      <c r="B137" s="111"/>
      <c r="C137" s="114"/>
      <c r="D137" s="166">
        <v>7</v>
      </c>
      <c r="E137" s="167"/>
      <c r="F137" s="213">
        <v>7</v>
      </c>
      <c r="G137" s="119"/>
      <c r="H137" s="117"/>
    </row>
    <row r="138" spans="1:8" ht="12.75">
      <c r="A138" s="155" t="s">
        <v>135</v>
      </c>
      <c r="B138" s="111"/>
      <c r="C138" s="114"/>
      <c r="D138" s="166">
        <f>D137*kW</f>
        <v>387.57062146892656</v>
      </c>
      <c r="E138" s="167"/>
      <c r="F138" s="214">
        <f>F137*kW</f>
        <v>387.57062146892656</v>
      </c>
      <c r="G138" s="119"/>
      <c r="H138" s="117"/>
    </row>
    <row r="139" spans="1:8" ht="12.75">
      <c r="A139" s="175" t="s">
        <v>137</v>
      </c>
      <c r="B139" s="147"/>
      <c r="C139" s="148"/>
      <c r="D139" s="167">
        <v>20.5</v>
      </c>
      <c r="E139" s="167"/>
      <c r="F139" s="213">
        <v>20.5</v>
      </c>
      <c r="G139" s="119"/>
      <c r="H139" s="117"/>
    </row>
    <row r="140" spans="1:6" ht="12.75">
      <c r="A140" s="175" t="s">
        <v>116</v>
      </c>
      <c r="B140" s="147"/>
      <c r="C140" s="147"/>
      <c r="D140" s="168">
        <f>D139*NamePlateHP</f>
        <v>1537.5</v>
      </c>
      <c r="E140" s="168"/>
      <c r="F140" s="215">
        <f>F139*NamePlateHP</f>
        <v>1537.5</v>
      </c>
    </row>
    <row r="141" spans="1:6" ht="12.75">
      <c r="A141" s="175" t="s">
        <v>138</v>
      </c>
      <c r="B141" s="147"/>
      <c r="C141" s="147"/>
      <c r="D141" s="167">
        <v>780</v>
      </c>
      <c r="E141" s="180"/>
      <c r="F141" s="213">
        <v>780</v>
      </c>
    </row>
    <row r="142" spans="1:6" ht="12.75">
      <c r="A142" s="155" t="s">
        <v>136</v>
      </c>
      <c r="B142" s="111"/>
      <c r="D142" s="182">
        <f>D136+D138+D141</f>
        <v>3286.247570621469</v>
      </c>
      <c r="E142" s="169"/>
      <c r="F142" s="216">
        <f>F136+F138+F141</f>
        <v>3286.247570621469</v>
      </c>
    </row>
    <row r="143" ht="12.75">
      <c r="B143" s="111"/>
    </row>
    <row r="144" ht="12.75">
      <c r="B144" s="111"/>
    </row>
    <row r="145" ht="12.75">
      <c r="B145" s="111"/>
    </row>
    <row r="146" ht="12.75">
      <c r="B146" s="111"/>
    </row>
    <row r="147" ht="12.75">
      <c r="B147" s="111"/>
    </row>
    <row r="148" ht="12.75">
      <c r="B148" s="111"/>
    </row>
    <row r="149" ht="12.75">
      <c r="B149" s="111"/>
    </row>
    <row r="150" ht="12.75">
      <c r="B150" s="111"/>
    </row>
    <row r="151" ht="12.75">
      <c r="B151" s="111"/>
    </row>
    <row r="152" ht="12.75">
      <c r="B152" s="111"/>
    </row>
    <row r="153" ht="12.75">
      <c r="B153" s="111"/>
    </row>
    <row r="154" ht="12.75">
      <c r="B154" s="111"/>
    </row>
    <row r="155" ht="12.75">
      <c r="B155" s="111"/>
    </row>
    <row r="156" ht="12.75">
      <c r="B156" s="111"/>
    </row>
    <row r="157" ht="12.75">
      <c r="B157" s="111"/>
    </row>
    <row r="158" ht="12.75">
      <c r="B158" s="111"/>
    </row>
    <row r="159" ht="12.75">
      <c r="B159" s="111"/>
    </row>
    <row r="160" ht="12.75">
      <c r="B160" s="111"/>
    </row>
    <row r="161" ht="12.75">
      <c r="B161" s="111"/>
    </row>
    <row r="162" ht="12.75">
      <c r="B162" s="111"/>
    </row>
    <row r="163" ht="12.75">
      <c r="B163" s="111"/>
    </row>
    <row r="164" ht="12.75">
      <c r="B164" s="111"/>
    </row>
    <row r="165" ht="12.75">
      <c r="B165" s="111"/>
    </row>
    <row r="166" ht="12.75">
      <c r="B166" s="111"/>
    </row>
    <row r="167" ht="12.75">
      <c r="B167" s="111"/>
    </row>
    <row r="168" ht="12.75">
      <c r="B168" s="111"/>
    </row>
    <row r="169" ht="12.75">
      <c r="B169" s="111"/>
    </row>
    <row r="170" ht="12.75">
      <c r="B170" s="111"/>
    </row>
    <row r="171" ht="12.75">
      <c r="B171" s="111"/>
    </row>
    <row r="172" ht="12.75">
      <c r="B172" s="111"/>
    </row>
    <row r="173" ht="12.75">
      <c r="B173" s="111"/>
    </row>
    <row r="174" ht="12.75">
      <c r="B174" s="111"/>
    </row>
    <row r="175" ht="12.75">
      <c r="B175" s="111"/>
    </row>
    <row r="176" ht="12.75">
      <c r="B176" s="111"/>
    </row>
    <row r="177" ht="12.75">
      <c r="B177" s="111"/>
    </row>
    <row r="178" ht="12.75">
      <c r="B178" s="111"/>
    </row>
    <row r="179" ht="12.75">
      <c r="B179" s="111"/>
    </row>
    <row r="180" ht="12.75">
      <c r="B180" s="111"/>
    </row>
    <row r="181" ht="12.75">
      <c r="B181" s="111"/>
    </row>
    <row r="182" ht="12.75">
      <c r="B182" s="111"/>
    </row>
    <row r="183" ht="12.75">
      <c r="B183" s="111"/>
    </row>
    <row r="184" ht="12.75">
      <c r="B184" s="111"/>
    </row>
    <row r="185" ht="12.75">
      <c r="B185" s="111"/>
    </row>
    <row r="186" ht="12.75">
      <c r="B186" s="111"/>
    </row>
    <row r="187" ht="12.75">
      <c r="B187" s="111"/>
    </row>
    <row r="188" ht="12.75">
      <c r="B188" s="111"/>
    </row>
    <row r="189" ht="12.75">
      <c r="B189" s="111"/>
    </row>
    <row r="190" ht="12.75">
      <c r="B190" s="111"/>
    </row>
    <row r="191" ht="12.75">
      <c r="B191" s="111"/>
    </row>
    <row r="192" ht="12.75">
      <c r="B192" s="111"/>
    </row>
    <row r="193" ht="12.75">
      <c r="B193" s="111"/>
    </row>
    <row r="194" ht="12.75">
      <c r="B194" s="111"/>
    </row>
    <row r="195" ht="12.75">
      <c r="B195" s="111"/>
    </row>
    <row r="196" ht="12.75">
      <c r="B196" s="111"/>
    </row>
    <row r="197" ht="12.75">
      <c r="B197" s="111"/>
    </row>
    <row r="198" ht="12.75">
      <c r="B198" s="111"/>
    </row>
    <row r="199" ht="12.75">
      <c r="B199" s="111"/>
    </row>
    <row r="200" ht="12.75">
      <c r="B200" s="111"/>
    </row>
    <row r="201" ht="12.75">
      <c r="B201" s="111"/>
    </row>
    <row r="202" ht="12.75">
      <c r="B202" s="111"/>
    </row>
    <row r="203" ht="12.75">
      <c r="B203" s="111"/>
    </row>
    <row r="204" ht="12.75">
      <c r="B204" s="111"/>
    </row>
    <row r="205" ht="12.75">
      <c r="B205" s="111"/>
    </row>
    <row r="206" ht="12.75">
      <c r="B206" s="111"/>
    </row>
    <row r="207" ht="12.75">
      <c r="B207" s="111"/>
    </row>
    <row r="208" ht="12.75">
      <c r="B208" s="111"/>
    </row>
    <row r="209" ht="12.75">
      <c r="B209" s="111"/>
    </row>
  </sheetData>
  <sheetProtection sheet="1"/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scrcals</dc:creator>
  <cp:keywords/>
  <dc:description/>
  <cp:lastModifiedBy>Cory Fuehrer</cp:lastModifiedBy>
  <cp:lastPrinted>2022-01-20T16:53:33Z</cp:lastPrinted>
  <dcterms:created xsi:type="dcterms:W3CDTF">2001-07-27T20:30:02Z</dcterms:created>
  <dcterms:modified xsi:type="dcterms:W3CDTF">2023-03-14T16:45:22Z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